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77s" sheetId="1" r:id="rId1"/>
    <sheet name="Chris" sheetId="2" r:id="rId2"/>
    <sheet name="Transformer Calculations" sheetId="3" r:id="rId3"/>
  </sheets>
  <definedNames/>
  <calcPr fullCalcOnLoad="1"/>
</workbook>
</file>

<file path=xl/sharedStrings.xml><?xml version="1.0" encoding="utf-8"?>
<sst xmlns="http://schemas.openxmlformats.org/spreadsheetml/2006/main" count="194" uniqueCount="118">
  <si>
    <t>Permeability</t>
  </si>
  <si>
    <t>N</t>
  </si>
  <si>
    <t>Imax (mA)</t>
  </si>
  <si>
    <t>Power (rms, W)</t>
  </si>
  <si>
    <t>Self Inductance (uH)</t>
  </si>
  <si>
    <t>Windup Cycles</t>
  </si>
  <si>
    <t>Windup Time (us)</t>
  </si>
  <si>
    <t>Appx Wire Len. (m)</t>
  </si>
  <si>
    <t>Part #</t>
  </si>
  <si>
    <t>AL (nH/AL)</t>
  </si>
  <si>
    <t>OD (")</t>
  </si>
  <si>
    <t>ID (")</t>
  </si>
  <si>
    <t>L (")</t>
  </si>
  <si>
    <t>Material</t>
  </si>
  <si>
    <t>Relative</t>
  </si>
  <si>
    <t>Absolute</t>
  </si>
  <si>
    <t>Price</t>
  </si>
  <si>
    <t>Area (m^2)</t>
  </si>
  <si>
    <t>L (m)</t>
  </si>
  <si>
    <t>L2(m)</t>
  </si>
  <si>
    <t>(pri, 1)</t>
  </si>
  <si>
    <t>(sec, 1)</t>
  </si>
  <si>
    <t>(pri, 2)</t>
  </si>
  <si>
    <t>(sec, 2)</t>
  </si>
  <si>
    <t>(1)</t>
  </si>
  <si>
    <t>(2)</t>
  </si>
  <si>
    <t>F-114-77</t>
  </si>
  <si>
    <t>F-114A-77</t>
  </si>
  <si>
    <t>F-140-77</t>
  </si>
  <si>
    <t>F-240-77</t>
  </si>
  <si>
    <t>F-290-77</t>
  </si>
  <si>
    <t>F-37-77</t>
  </si>
  <si>
    <t>F-50A-77</t>
  </si>
  <si>
    <t>F-50B-77</t>
  </si>
  <si>
    <t>F-82-77</t>
  </si>
  <si>
    <t>F-87-77</t>
  </si>
  <si>
    <t>F-23-77</t>
  </si>
  <si>
    <t>F-290-43</t>
  </si>
  <si>
    <t>F-240-43</t>
  </si>
  <si>
    <t>F-240-61</t>
  </si>
  <si>
    <t>F-240-K</t>
  </si>
  <si>
    <t>K</t>
  </si>
  <si>
    <t>F-240-67</t>
  </si>
  <si>
    <t>Scenario</t>
  </si>
  <si>
    <t>V pri (rms)</t>
  </si>
  <si>
    <t>Bmax / Bsat</t>
  </si>
  <si>
    <t>Irms (A)</t>
  </si>
  <si>
    <t>Power (W)</t>
  </si>
  <si>
    <t>Windup Time (cycles)</t>
  </si>
  <si>
    <t>Frequency 1</t>
  </si>
  <si>
    <t>Frequency 2</t>
  </si>
  <si>
    <t>Flux Density (T)</t>
  </si>
  <si>
    <t>(Saturation is around 3000G = 0.3T)</t>
  </si>
  <si>
    <t>V Primary (rms)</t>
  </si>
  <si>
    <t>V Secondary (rms)</t>
  </si>
  <si>
    <t>Energy (Ind)</t>
  </si>
  <si>
    <t>C</t>
  </si>
  <si>
    <t>V Primary (pk)</t>
  </si>
  <si>
    <t>V Secondary (pk)</t>
  </si>
  <si>
    <t>Energy (cap)</t>
  </si>
  <si>
    <t>Coil #</t>
  </si>
  <si>
    <t>µ</t>
  </si>
  <si>
    <t>A</t>
  </si>
  <si>
    <t>L</t>
  </si>
  <si>
    <t>NA</t>
  </si>
  <si>
    <t>N2</t>
  </si>
  <si>
    <t>N1</t>
  </si>
  <si>
    <t>I Prim</t>
  </si>
  <si>
    <t>Rel</t>
  </si>
  <si>
    <t>Lsec</t>
  </si>
  <si>
    <t>Xl</t>
  </si>
  <si>
    <t>(cm^2)</t>
  </si>
  <si>
    <t>(cm)</t>
  </si>
  <si>
    <t>(uH)</t>
  </si>
  <si>
    <t>(ohms)</t>
  </si>
  <si>
    <t>F-140-67</t>
  </si>
  <si>
    <t>F-140-61</t>
  </si>
  <si>
    <t>V1</t>
  </si>
  <si>
    <t>V</t>
  </si>
  <si>
    <t>V2</t>
  </si>
  <si>
    <t>f</t>
  </si>
  <si>
    <t>Hz</t>
  </si>
  <si>
    <t>Bsat</t>
  </si>
  <si>
    <t>Tesla</t>
  </si>
  <si>
    <t>H calc</t>
  </si>
  <si>
    <t>B calc #1</t>
  </si>
  <si>
    <t>B calc #2</t>
  </si>
  <si>
    <t>From: http://www.coilws.com/magneticandhow.html</t>
  </si>
  <si>
    <t>(A/m)</t>
  </si>
  <si>
    <t>(gauss)</t>
  </si>
  <si>
    <t>B = (E * 10^8) / 4ANf</t>
  </si>
  <si>
    <t>where E is primary or sec voltage, N is turns on pri or sec, A is area (cm^2), f in Hz.</t>
  </si>
  <si>
    <t>H = 0.4πNI/L</t>
  </si>
  <si>
    <t>where I in amps, L is mean magnetic path length (cm)</t>
  </si>
  <si>
    <t>From Lindsay:</t>
  </si>
  <si>
    <t>B = µH</t>
  </si>
  <si>
    <t>where µ is initial permeability</t>
  </si>
  <si>
    <t>From Mirco:</t>
  </si>
  <si>
    <t>L = 75µ max</t>
  </si>
  <si>
    <t>Turns ratio:</t>
  </si>
  <si>
    <t>X = 2π f L = 9.42Ω</t>
  </si>
  <si>
    <t xml:space="preserve"> ==&gt; Vp = X Ip = 9.42 * 20 = 188.5Vp</t>
  </si>
  <si>
    <t>Power Estimate:</t>
  </si>
  <si>
    <t>Spice shows Ipri = 10Ap but not very confident in numbers.  Assume 50W.</t>
  </si>
  <si>
    <t>Parameters:</t>
  </si>
  <si>
    <t>N (for primary)</t>
  </si>
  <si>
    <t>(secondary turns)</t>
  </si>
  <si>
    <t>Ep (Vprimary)</t>
  </si>
  <si>
    <t>(Vsecondary)</t>
  </si>
  <si>
    <t>f (Hz)</t>
  </si>
  <si>
    <t>P (W)</t>
  </si>
  <si>
    <t>Turns Ratio</t>
  </si>
  <si>
    <t>Convoluted and well hidden things we need:</t>
  </si>
  <si>
    <t>I (A)</t>
  </si>
  <si>
    <t>Coil # from http://www.cwsbytemark.com/prices/toroidal.php</t>
  </si>
  <si>
    <t>Material specs from http://www.cwsbytemark.com/CatalogSheets/Ferrite_datasheet_oct06/FR_MATL.pdf</t>
  </si>
  <si>
    <t>Core dimensions from http://www.cwsbytemark.com/CatalogSheets/datasheets_mpp.php</t>
  </si>
  <si>
    <t>Note: from A28, suggest materials 78 as first choice, then 77.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</si>
</sst>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$#,##0.00"/>
    <numFmt numFmtId="166" formatCode="0.00E+00"/>
    <numFmt numFmtId="167" formatCode="0.0"/>
    <numFmt numFmtId="168" formatCode="0.00"/>
    <numFmt numFmtId="169" formatCode="0"/>
    <numFmt numFmtId="170" formatCode="0.000"/>
    <numFmt numFmtId="171" formatCode="0.00E+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1" xfId="0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167" fontId="0" fillId="0" borderId="1" xfId="0" applyNumberFormat="1" applyFont="1" applyBorder="1" applyAlignment="1">
      <alignment horizontal="left"/>
    </xf>
    <xf numFmtId="168" fontId="0" fillId="0" borderId="3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9" fontId="0" fillId="0" borderId="3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 horizontal="left"/>
    </xf>
    <xf numFmtId="164" fontId="0" fillId="0" borderId="0" xfId="0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5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4" fontId="0" fillId="0" borderId="9" xfId="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0" xfId="0" applyNumberFormat="1" applyFont="1" applyBorder="1" applyAlignment="1">
      <alignment horizontal="left"/>
    </xf>
    <xf numFmtId="164" fontId="0" fillId="0" borderId="11" xfId="0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2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4" fontId="0" fillId="2" borderId="4" xfId="0" applyFont="1" applyFill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4" fontId="1" fillId="3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0" fillId="3" borderId="0" xfId="0" applyFill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9525</xdr:rowOff>
    </xdr:from>
    <xdr:to>
      <xdr:col>7</xdr:col>
      <xdr:colOff>581025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4267200" y="171450"/>
          <a:ext cx="657225" cy="714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</xdr:row>
      <xdr:rowOff>38100</xdr:rowOff>
    </xdr:from>
    <xdr:to>
      <xdr:col>7</xdr:col>
      <xdr:colOff>609600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3657600" y="200025"/>
          <a:ext cx="129540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</xdr:row>
      <xdr:rowOff>123825</xdr:rowOff>
    </xdr:from>
    <xdr:to>
      <xdr:col>8</xdr:col>
      <xdr:colOff>0</xdr:colOff>
      <xdr:row>2</xdr:row>
      <xdr:rowOff>76200</xdr:rowOff>
    </xdr:to>
    <xdr:sp>
      <xdr:nvSpPr>
        <xdr:cNvPr id="3" name="Line 3"/>
        <xdr:cNvSpPr>
          <a:spLocks/>
        </xdr:cNvSpPr>
      </xdr:nvSpPr>
      <xdr:spPr>
        <a:xfrm flipH="1" flipV="1">
          <a:off x="3000375" y="285750"/>
          <a:ext cx="19526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wsbytemark.com/prices/toroidal.php" TargetMode="External" /><Relationship Id="rId2" Type="http://schemas.openxmlformats.org/officeDocument/2006/relationships/hyperlink" Target="http://www.cwsbytemark.com/CatalogSheets/Ferrite_datasheet_oct06/FR_MATL.pdf" TargetMode="External" /><Relationship Id="rId3" Type="http://schemas.openxmlformats.org/officeDocument/2006/relationships/hyperlink" Target="http://www.cwsbytemark.com/CatalogSheets/datasheets_mpp.php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 topLeftCell="A12">
      <selection activeCell="G38" sqref="G38"/>
    </sheetView>
  </sheetViews>
  <sheetFormatPr defaultColWidth="9.140625" defaultRowHeight="12.75"/>
  <cols>
    <col min="1" max="1" width="19.00390625" style="1" customWidth="1"/>
    <col min="2" max="8" width="9.140625" style="1" customWidth="1"/>
    <col min="9" max="9" width="9.140625" style="2" customWidth="1"/>
    <col min="10" max="10" width="12.421875" style="3" customWidth="1"/>
    <col min="11" max="12" width="9.140625" style="3" customWidth="1"/>
    <col min="13" max="13" width="9.140625" style="4" customWidth="1"/>
    <col min="14" max="16" width="9.140625" style="1" customWidth="1"/>
    <col min="17" max="17" width="11.00390625" style="5" customWidth="1"/>
    <col min="18" max="18" width="10.00390625" style="5" customWidth="1"/>
    <col min="19" max="19" width="10.8515625" style="5" customWidth="1"/>
    <col min="20" max="20" width="9.57421875" style="5" customWidth="1"/>
    <col min="21" max="21" width="11.57421875" style="1" customWidth="1"/>
    <col min="22" max="22" width="11.28125" style="1" customWidth="1"/>
    <col min="23" max="24" width="9.140625" style="5" customWidth="1"/>
    <col min="25" max="25" width="9.57421875" style="5" customWidth="1"/>
    <col min="26" max="26" width="9.140625" style="5" customWidth="1"/>
    <col min="27" max="28" width="9.140625" style="6" customWidth="1"/>
    <col min="29" max="29" width="9.140625" style="4" customWidth="1"/>
    <col min="30" max="30" width="11.57421875" style="4" customWidth="1"/>
    <col min="31" max="16384" width="9.140625" style="1" customWidth="1"/>
  </cols>
  <sheetData>
    <row r="1" spans="1:32" s="20" customFormat="1" ht="12.75">
      <c r="A1" s="7"/>
      <c r="B1" s="8"/>
      <c r="C1" s="7"/>
      <c r="D1" s="9"/>
      <c r="E1" s="8"/>
      <c r="F1" s="7"/>
      <c r="G1" s="9" t="s">
        <v>0</v>
      </c>
      <c r="H1" s="9"/>
      <c r="I1" s="10"/>
      <c r="J1" s="11"/>
      <c r="K1" s="12"/>
      <c r="L1" s="12"/>
      <c r="M1" s="13" t="s">
        <v>1</v>
      </c>
      <c r="N1" s="9"/>
      <c r="O1" s="9"/>
      <c r="P1" s="8"/>
      <c r="Q1" s="14" t="s">
        <v>2</v>
      </c>
      <c r="R1" s="9"/>
      <c r="S1" s="14"/>
      <c r="T1" s="15"/>
      <c r="U1" s="7" t="s">
        <v>3</v>
      </c>
      <c r="V1" s="9"/>
      <c r="W1" s="16" t="s">
        <v>4</v>
      </c>
      <c r="X1" s="14"/>
      <c r="Y1" s="14"/>
      <c r="Z1" s="15"/>
      <c r="AA1" s="17" t="s">
        <v>5</v>
      </c>
      <c r="AB1" s="18"/>
      <c r="AC1" s="13" t="s">
        <v>6</v>
      </c>
      <c r="AD1" s="19"/>
      <c r="AE1" s="7" t="s">
        <v>7</v>
      </c>
      <c r="AF1" s="8"/>
    </row>
    <row r="2" spans="1:32" ht="12.75">
      <c r="A2" s="21" t="s">
        <v>8</v>
      </c>
      <c r="B2" s="22" t="s">
        <v>9</v>
      </c>
      <c r="C2" s="21" t="s">
        <v>10</v>
      </c>
      <c r="D2" s="23" t="s">
        <v>11</v>
      </c>
      <c r="E2" s="22" t="s">
        <v>12</v>
      </c>
      <c r="F2" s="21" t="s">
        <v>13</v>
      </c>
      <c r="G2" s="23" t="s">
        <v>14</v>
      </c>
      <c r="H2" s="23" t="s">
        <v>15</v>
      </c>
      <c r="I2" s="24" t="s">
        <v>16</v>
      </c>
      <c r="J2" s="25" t="s">
        <v>17</v>
      </c>
      <c r="K2" s="26" t="s">
        <v>18</v>
      </c>
      <c r="L2" s="26" t="s">
        <v>19</v>
      </c>
      <c r="M2" s="27" t="s">
        <v>20</v>
      </c>
      <c r="N2" s="28" t="s">
        <v>21</v>
      </c>
      <c r="O2" s="28" t="s">
        <v>22</v>
      </c>
      <c r="P2" s="29" t="s">
        <v>23</v>
      </c>
      <c r="Q2" s="28" t="s">
        <v>20</v>
      </c>
      <c r="R2" s="28" t="s">
        <v>21</v>
      </c>
      <c r="S2" s="28" t="s">
        <v>22</v>
      </c>
      <c r="T2" s="29" t="s">
        <v>23</v>
      </c>
      <c r="U2" s="27" t="s">
        <v>24</v>
      </c>
      <c r="V2" s="28" t="s">
        <v>25</v>
      </c>
      <c r="W2" s="27" t="s">
        <v>20</v>
      </c>
      <c r="X2" s="28" t="s">
        <v>21</v>
      </c>
      <c r="Y2" s="28" t="s">
        <v>22</v>
      </c>
      <c r="Z2" s="29" t="s">
        <v>23</v>
      </c>
      <c r="AA2" s="30" t="s">
        <v>24</v>
      </c>
      <c r="AB2" s="31" t="s">
        <v>25</v>
      </c>
      <c r="AC2" s="32" t="s">
        <v>24</v>
      </c>
      <c r="AD2" s="33" t="s">
        <v>25</v>
      </c>
      <c r="AE2" s="21" t="s">
        <v>24</v>
      </c>
      <c r="AF2" s="33" t="s">
        <v>25</v>
      </c>
    </row>
    <row r="3" spans="1:32" ht="12.75">
      <c r="A3" s="21"/>
      <c r="B3" s="22"/>
      <c r="C3" s="21"/>
      <c r="D3" s="23"/>
      <c r="E3" s="22"/>
      <c r="F3" s="21"/>
      <c r="G3" s="23"/>
      <c r="H3" s="23"/>
      <c r="I3" s="24"/>
      <c r="J3" s="25"/>
      <c r="K3" s="26"/>
      <c r="L3" s="26"/>
      <c r="M3" s="32"/>
      <c r="N3" s="23"/>
      <c r="O3" s="23"/>
      <c r="P3" s="22"/>
      <c r="Q3" s="28"/>
      <c r="R3" s="28"/>
      <c r="S3" s="28"/>
      <c r="T3" s="29"/>
      <c r="U3" s="21"/>
      <c r="V3" s="23"/>
      <c r="W3" s="27"/>
      <c r="X3" s="28"/>
      <c r="Y3" s="28"/>
      <c r="Z3" s="29"/>
      <c r="AA3" s="30"/>
      <c r="AB3" s="31"/>
      <c r="AC3" s="32"/>
      <c r="AD3" s="33"/>
      <c r="AE3" s="21"/>
      <c r="AF3" s="22"/>
    </row>
    <row r="4" spans="1:32" ht="12.75">
      <c r="A4" s="21" t="s">
        <v>26</v>
      </c>
      <c r="B4" s="22">
        <v>1270</v>
      </c>
      <c r="C4" s="21">
        <v>1.1400000000000001</v>
      </c>
      <c r="D4" s="23">
        <v>0.748</v>
      </c>
      <c r="E4" s="22">
        <v>0.295</v>
      </c>
      <c r="F4" s="21">
        <v>77</v>
      </c>
      <c r="G4" s="23">
        <v>2000</v>
      </c>
      <c r="H4" s="26">
        <f>G4*$B$30</f>
        <v>0.0025131999999999997</v>
      </c>
      <c r="I4" s="24">
        <v>2.25</v>
      </c>
      <c r="J4" s="25">
        <f>(C4-D4)/2*E4*0.0256^2</f>
        <v>3.789291520000001E-05</v>
      </c>
      <c r="K4" s="26">
        <f>(C4+D4)/2*0.0256*PI()</f>
        <v>0.07592098470371238</v>
      </c>
      <c r="L4" s="26">
        <f>E4*0.0256</f>
        <v>0.007552</v>
      </c>
      <c r="M4" s="32">
        <f>$B$28/4.44/$B$25/$B$27/$J4</f>
        <v>10.086842875642832</v>
      </c>
      <c r="N4" s="34">
        <f>$B$29/4.44/$B$25/$B$27/$J4</f>
        <v>151.3026431346425</v>
      </c>
      <c r="O4" s="34">
        <f>$B$28/4.44/$B$26/$B$27/$J4</f>
        <v>20.173685751285664</v>
      </c>
      <c r="P4" s="33">
        <f>$B$29/4.44/$B$26/$B$27/$J4</f>
        <v>302.605286269285</v>
      </c>
      <c r="Q4" s="28">
        <f>$B$27/$H4*$K4/M4*1</f>
        <v>0.7487201721532373</v>
      </c>
      <c r="R4" s="28">
        <f aca="true" t="shared" si="0" ref="R4:T19">$B$27/$H4*$K4/N4*1</f>
        <v>0.04991467814354915</v>
      </c>
      <c r="S4" s="28">
        <f t="shared" si="0"/>
        <v>0.37436008607661864</v>
      </c>
      <c r="T4" s="29">
        <f t="shared" si="0"/>
        <v>0.024957339071774574</v>
      </c>
      <c r="U4" s="27">
        <f>Q4/1/SQRT(2)*$B$33</f>
        <v>6.35310133128856</v>
      </c>
      <c r="V4" s="28">
        <f>S4/1/SQRT(2)*$B$33</f>
        <v>3.17655066564428</v>
      </c>
      <c r="W4" s="27">
        <f>Q4^2/$K4*$H4*$J4*1000000</f>
        <v>0.7031731915949951</v>
      </c>
      <c r="X4" s="28">
        <f>R4^2/$K4*$H4*$J4*1000000</f>
        <v>0.003125214184866644</v>
      </c>
      <c r="Y4" s="28">
        <f>S4^2/$K4*$H4*$J4*1000000</f>
        <v>0.17579329789874878</v>
      </c>
      <c r="Z4" s="29">
        <f>T4^2/$K4*$H4*$J4*1000000</f>
        <v>0.000781303546216661</v>
      </c>
      <c r="AA4" s="30">
        <f>$B$31/U4*$B$25</f>
        <v>47.221031801038954</v>
      </c>
      <c r="AB4" s="31">
        <f>$B$31/V4*$B$25</f>
        <v>94.44206360207791</v>
      </c>
      <c r="AC4" s="32">
        <f>$B$31/U4*1000000</f>
        <v>2361.0515900519476</v>
      </c>
      <c r="AD4" s="33">
        <f>$B$31/V4*1000000</f>
        <v>4722.103180103895</v>
      </c>
      <c r="AE4" s="32">
        <f>(N4+M4)*($C4-$D4+2*$E4)*0.0256</f>
        <v>4.0572025667097655</v>
      </c>
      <c r="AF4" s="33">
        <f>(O4+P4)*($C4-$D4+2*$E4)*0.0256</f>
        <v>8.114405133419531</v>
      </c>
    </row>
    <row r="5" spans="1:32" ht="12.75">
      <c r="A5" s="21" t="s">
        <v>27</v>
      </c>
      <c r="B5" s="22">
        <v>2340</v>
      </c>
      <c r="C5" s="21">
        <v>1.1400000000000001</v>
      </c>
      <c r="D5" s="23">
        <v>0.748</v>
      </c>
      <c r="E5" s="22">
        <v>0.545</v>
      </c>
      <c r="F5" s="21">
        <v>77</v>
      </c>
      <c r="G5" s="23">
        <v>2000</v>
      </c>
      <c r="H5" s="26">
        <f aca="true" t="shared" si="1" ref="H5:H20">G5*$B$30</f>
        <v>0.0025131999999999997</v>
      </c>
      <c r="I5" s="24">
        <v>2.45</v>
      </c>
      <c r="J5" s="25">
        <f aca="true" t="shared" si="2" ref="J5:J20">(C5-D5)/2*E5*0.0256^2</f>
        <v>7.000555520000003E-05</v>
      </c>
      <c r="K5" s="26">
        <f aca="true" t="shared" si="3" ref="K5:K20">(C5+D5)/2*0.0256*PI()</f>
        <v>0.07592098470371238</v>
      </c>
      <c r="L5" s="26">
        <f aca="true" t="shared" si="4" ref="L5:L20">E5*0.0256</f>
        <v>0.013952</v>
      </c>
      <c r="M5" s="32">
        <f aca="true" t="shared" si="5" ref="M5:M20">$B$28/4.44/$B$25/$B$27/$J5</f>
        <v>5.459850730852541</v>
      </c>
      <c r="N5" s="34">
        <f aca="true" t="shared" si="6" ref="N5:N20">$B$29/4.44/$B$25/$B$27/$J5</f>
        <v>81.89776096278811</v>
      </c>
      <c r="O5" s="34">
        <f aca="true" t="shared" si="7" ref="O5:O20">$B$28/4.44/$B$26/$B$27/$J5</f>
        <v>10.919701461705081</v>
      </c>
      <c r="P5" s="33">
        <f aca="true" t="shared" si="8" ref="P5:P20">$B$29/4.44/$B$26/$B$27/$J5</f>
        <v>163.79552192557622</v>
      </c>
      <c r="Q5" s="28">
        <f aca="true" t="shared" si="9" ref="Q5:Q20">$B$27/$H5*$K5/M5*1</f>
        <v>1.3832287926220828</v>
      </c>
      <c r="R5" s="28">
        <f t="shared" si="0"/>
        <v>0.09221525284147218</v>
      </c>
      <c r="S5" s="28">
        <f t="shared" si="0"/>
        <v>0.6916143963110414</v>
      </c>
      <c r="T5" s="29">
        <f t="shared" si="0"/>
        <v>0.04610762642073609</v>
      </c>
      <c r="U5" s="27">
        <f>Q5/1/SQRT(2)*$B$33</f>
        <v>11.737085510346665</v>
      </c>
      <c r="V5" s="28">
        <f>S5/1/SQRT(2)*$B$33</f>
        <v>5.8685427551733325</v>
      </c>
      <c r="W5" s="27">
        <f aca="true" t="shared" si="10" ref="W5:W20">Q5^2/$K5*$H5*$J5*1000000</f>
        <v>4.433898670935566</v>
      </c>
      <c r="X5" s="28">
        <f aca="true" t="shared" si="11" ref="X5:X20">R5^2/$K5*$H5*$J5*1000000</f>
        <v>0.019706216315269177</v>
      </c>
      <c r="Y5" s="28">
        <f aca="true" t="shared" si="12" ref="Y5:Y20">S5^2/$K5*$H5*$J5*1000000</f>
        <v>1.1084746677338915</v>
      </c>
      <c r="Z5" s="29">
        <f aca="true" t="shared" si="13" ref="Z5:Z20">T5^2/$K5*$H5*$J5*1000000</f>
        <v>0.004926554078817294</v>
      </c>
      <c r="AA5" s="30">
        <f aca="true" t="shared" si="14" ref="AA5:AA14">$B$31/U5*$B$25</f>
        <v>25.56000803909447</v>
      </c>
      <c r="AB5" s="31">
        <f aca="true" t="shared" si="15" ref="AB5:AB14">$B$31/V5*$B$25</f>
        <v>51.12001607818894</v>
      </c>
      <c r="AC5" s="32">
        <f aca="true" t="shared" si="16" ref="AC5:AC20">$B$31/U5*1000000</f>
        <v>1278.0004019547234</v>
      </c>
      <c r="AD5" s="33">
        <f aca="true" t="shared" si="17" ref="AD5:AD20">$B$31/V5*1000000</f>
        <v>2556.000803909447</v>
      </c>
      <c r="AE5" s="32">
        <f aca="true" t="shared" si="18" ref="AE5:AE20">(N5+M5)*($C5-$D5+2*$E5)*0.0256</f>
        <v>3.314277901567372</v>
      </c>
      <c r="AF5" s="33">
        <f aca="true" t="shared" si="19" ref="AF5:AF20">(O5+P5)*($C5-$D5+2*$E5)*0.0256</f>
        <v>6.628555803134744</v>
      </c>
    </row>
    <row r="6" spans="1:32" ht="12.75">
      <c r="A6" s="21" t="s">
        <v>28</v>
      </c>
      <c r="B6" s="22">
        <v>2250</v>
      </c>
      <c r="C6" s="21">
        <v>1.4</v>
      </c>
      <c r="D6" s="23">
        <v>0.9</v>
      </c>
      <c r="E6" s="22">
        <v>0.5</v>
      </c>
      <c r="F6" s="21">
        <v>77</v>
      </c>
      <c r="G6" s="23">
        <v>2000</v>
      </c>
      <c r="H6" s="26">
        <f t="shared" si="1"/>
        <v>0.0025131999999999997</v>
      </c>
      <c r="I6" s="24">
        <v>3.75</v>
      </c>
      <c r="J6" s="25">
        <f t="shared" si="2"/>
        <v>8.192000000000002E-05</v>
      </c>
      <c r="K6" s="26">
        <f t="shared" si="3"/>
        <v>0.09248848772168353</v>
      </c>
      <c r="L6" s="26">
        <f t="shared" si="4"/>
        <v>0.0128</v>
      </c>
      <c r="M6" s="32">
        <f t="shared" si="5"/>
        <v>4.665770040557349</v>
      </c>
      <c r="N6" s="34">
        <f t="shared" si="6"/>
        <v>69.98655060836023</v>
      </c>
      <c r="O6" s="34">
        <f t="shared" si="7"/>
        <v>9.331540081114698</v>
      </c>
      <c r="P6" s="33">
        <f t="shared" si="8"/>
        <v>139.97310121672047</v>
      </c>
      <c r="Q6" s="28">
        <f t="shared" si="9"/>
        <v>1.9718655783551644</v>
      </c>
      <c r="R6" s="28">
        <f t="shared" si="0"/>
        <v>0.1314577052236776</v>
      </c>
      <c r="S6" s="28">
        <f t="shared" si="0"/>
        <v>0.9859327891775822</v>
      </c>
      <c r="T6" s="29">
        <f t="shared" si="0"/>
        <v>0.0657288526118388</v>
      </c>
      <c r="U6" s="27">
        <f>Q6/1/SQRT(2)*$B$33</f>
        <v>16.73183426451924</v>
      </c>
      <c r="V6" s="28">
        <f>S6/1/SQRT(2)*$B$33</f>
        <v>8.36591713225962</v>
      </c>
      <c r="W6" s="27">
        <f t="shared" si="10"/>
        <v>8.655335923904584</v>
      </c>
      <c r="X6" s="28">
        <f t="shared" si="11"/>
        <v>0.038468159661798146</v>
      </c>
      <c r="Y6" s="28">
        <f t="shared" si="12"/>
        <v>2.163833980976146</v>
      </c>
      <c r="Z6" s="29">
        <f t="shared" si="13"/>
        <v>0.009617039915449536</v>
      </c>
      <c r="AA6" s="30">
        <f t="shared" si="14"/>
        <v>17.92989311615202</v>
      </c>
      <c r="AB6" s="31">
        <f t="shared" si="15"/>
        <v>35.85978623230404</v>
      </c>
      <c r="AC6" s="32">
        <f t="shared" si="16"/>
        <v>896.4946558076009</v>
      </c>
      <c r="AD6" s="33">
        <f t="shared" si="17"/>
        <v>1792.9893116152018</v>
      </c>
      <c r="AE6" s="32">
        <f t="shared" si="18"/>
        <v>2.8666491129184353</v>
      </c>
      <c r="AF6" s="33">
        <f t="shared" si="19"/>
        <v>5.7332982258368705</v>
      </c>
    </row>
    <row r="7" spans="1:32" ht="12.75">
      <c r="A7" s="21" t="s">
        <v>29</v>
      </c>
      <c r="B7" s="22">
        <v>2725</v>
      </c>
      <c r="C7" s="21">
        <v>2.4</v>
      </c>
      <c r="D7" s="23">
        <v>1.4</v>
      </c>
      <c r="E7" s="22">
        <v>0.5</v>
      </c>
      <c r="F7" s="21">
        <v>77</v>
      </c>
      <c r="G7" s="23">
        <v>2000</v>
      </c>
      <c r="H7" s="26">
        <f t="shared" si="1"/>
        <v>0.0025131999999999997</v>
      </c>
      <c r="I7" s="24">
        <v>9</v>
      </c>
      <c r="J7" s="25">
        <f t="shared" si="2"/>
        <v>0.00016383999999999998</v>
      </c>
      <c r="K7" s="26">
        <f t="shared" si="3"/>
        <v>0.15280706667060753</v>
      </c>
      <c r="L7" s="26">
        <f t="shared" si="4"/>
        <v>0.0128</v>
      </c>
      <c r="M7" s="32">
        <f t="shared" si="5"/>
        <v>2.332885020278675</v>
      </c>
      <c r="N7" s="34">
        <f t="shared" si="6"/>
        <v>34.99327530418013</v>
      </c>
      <c r="O7" s="34">
        <f t="shared" si="7"/>
        <v>4.66577004055735</v>
      </c>
      <c r="P7" s="33">
        <f t="shared" si="8"/>
        <v>69.98655060836026</v>
      </c>
      <c r="Q7" s="28">
        <f t="shared" si="9"/>
        <v>6.515729737173585</v>
      </c>
      <c r="R7" s="28">
        <f t="shared" si="0"/>
        <v>0.4343819824782389</v>
      </c>
      <c r="S7" s="28">
        <f t="shared" si="0"/>
        <v>3.2578648685867924</v>
      </c>
      <c r="T7" s="29">
        <f t="shared" si="0"/>
        <v>0.21719099123911945</v>
      </c>
      <c r="U7" s="27">
        <f>Q7/1/SQRT(2)*$B$33</f>
        <v>55.28780017841139</v>
      </c>
      <c r="V7" s="28">
        <f>S7/1/SQRT(2)*$B$33</f>
        <v>27.643900089205694</v>
      </c>
      <c r="W7" s="27">
        <f t="shared" si="10"/>
        <v>114.40096177682574</v>
      </c>
      <c r="X7" s="28">
        <f t="shared" si="11"/>
        <v>0.5084487190081142</v>
      </c>
      <c r="Y7" s="28">
        <f t="shared" si="12"/>
        <v>28.600240444206435</v>
      </c>
      <c r="Z7" s="29">
        <f t="shared" si="13"/>
        <v>0.12711217975202854</v>
      </c>
      <c r="AA7" s="30">
        <f t="shared" si="14"/>
        <v>5.426151864098639</v>
      </c>
      <c r="AB7" s="31">
        <f t="shared" si="15"/>
        <v>10.852303728197278</v>
      </c>
      <c r="AC7" s="32">
        <f t="shared" si="16"/>
        <v>271.30759320493195</v>
      </c>
      <c r="AD7" s="33">
        <f t="shared" si="17"/>
        <v>542.6151864098639</v>
      </c>
      <c r="AE7" s="32">
        <f t="shared" si="18"/>
        <v>1.9110994086122906</v>
      </c>
      <c r="AF7" s="33">
        <f t="shared" si="19"/>
        <v>3.822198817224581</v>
      </c>
    </row>
    <row r="8" spans="1:32" ht="12.75">
      <c r="A8" s="21" t="s">
        <v>30</v>
      </c>
      <c r="B8" s="22">
        <v>3225</v>
      </c>
      <c r="C8" s="21">
        <v>2.9</v>
      </c>
      <c r="D8" s="23">
        <v>1.53</v>
      </c>
      <c r="E8" s="22">
        <v>0.5</v>
      </c>
      <c r="F8" s="21">
        <v>77</v>
      </c>
      <c r="G8" s="23">
        <v>2000</v>
      </c>
      <c r="H8" s="26">
        <f t="shared" si="1"/>
        <v>0.0025131999999999997</v>
      </c>
      <c r="I8" s="24">
        <v>18</v>
      </c>
      <c r="J8" s="25">
        <f t="shared" si="2"/>
        <v>0.00022446079999999998</v>
      </c>
      <c r="K8" s="26">
        <f t="shared" si="3"/>
        <v>0.1781408698291556</v>
      </c>
      <c r="L8" s="26">
        <f t="shared" si="4"/>
        <v>0.0128</v>
      </c>
      <c r="M8" s="32">
        <f t="shared" si="5"/>
        <v>1.70283578122531</v>
      </c>
      <c r="N8" s="34">
        <f t="shared" si="6"/>
        <v>25.542536718379655</v>
      </c>
      <c r="O8" s="34">
        <f t="shared" si="7"/>
        <v>3.40567156245062</v>
      </c>
      <c r="P8" s="33">
        <f t="shared" si="8"/>
        <v>51.08507343675931</v>
      </c>
      <c r="Q8" s="28">
        <f t="shared" si="9"/>
        <v>10.406477723126368</v>
      </c>
      <c r="R8" s="28">
        <f t="shared" si="0"/>
        <v>0.6937651815417578</v>
      </c>
      <c r="S8" s="28">
        <f t="shared" si="0"/>
        <v>5.203238861563184</v>
      </c>
      <c r="T8" s="29">
        <f t="shared" si="0"/>
        <v>0.3468825907708789</v>
      </c>
      <c r="U8" s="27">
        <f>Q8/1/SQRT(2)*$B$33</f>
        <v>88.30189159547277</v>
      </c>
      <c r="V8" s="28">
        <f>S8/1/SQRT(2)*$B$33</f>
        <v>44.150945797736384</v>
      </c>
      <c r="W8" s="27">
        <f t="shared" si="10"/>
        <v>342.9347592805334</v>
      </c>
      <c r="X8" s="28">
        <f t="shared" si="11"/>
        <v>1.524154485691259</v>
      </c>
      <c r="Y8" s="28">
        <f t="shared" si="12"/>
        <v>85.73368982013335</v>
      </c>
      <c r="Z8" s="29">
        <f t="shared" si="13"/>
        <v>0.38103862142281475</v>
      </c>
      <c r="AA8" s="30">
        <f t="shared" si="14"/>
        <v>3.3974357126385835</v>
      </c>
      <c r="AB8" s="31">
        <f t="shared" si="15"/>
        <v>6.794871425277167</v>
      </c>
      <c r="AC8" s="32">
        <f t="shared" si="16"/>
        <v>169.87178563192919</v>
      </c>
      <c r="AD8" s="33">
        <f t="shared" si="17"/>
        <v>339.74357126385837</v>
      </c>
      <c r="AE8" s="32">
        <f t="shared" si="18"/>
        <v>1.6530312402960325</v>
      </c>
      <c r="AF8" s="33">
        <f t="shared" si="19"/>
        <v>3.306062480592065</v>
      </c>
    </row>
    <row r="9" spans="1:32" ht="12.75">
      <c r="A9" s="21" t="s">
        <v>31</v>
      </c>
      <c r="B9" s="22">
        <v>884</v>
      </c>
      <c r="C9" s="21">
        <v>0.38</v>
      </c>
      <c r="D9" s="23">
        <v>0.187</v>
      </c>
      <c r="E9" s="22">
        <v>0.125</v>
      </c>
      <c r="F9" s="21">
        <v>77</v>
      </c>
      <c r="G9" s="23">
        <v>2000</v>
      </c>
      <c r="H9" s="26">
        <f t="shared" si="1"/>
        <v>0.0025131999999999997</v>
      </c>
      <c r="I9" s="24">
        <v>0.6</v>
      </c>
      <c r="J9" s="25">
        <f t="shared" si="2"/>
        <v>7.90528E-06</v>
      </c>
      <c r="K9" s="26">
        <f t="shared" si="3"/>
        <v>0.02280042284269328</v>
      </c>
      <c r="L9" s="26">
        <f t="shared" si="4"/>
        <v>0.0032</v>
      </c>
      <c r="M9" s="32">
        <f t="shared" si="5"/>
        <v>48.34994860681191</v>
      </c>
      <c r="N9" s="34">
        <f t="shared" si="6"/>
        <v>725.2492291021787</v>
      </c>
      <c r="O9" s="34">
        <f t="shared" si="7"/>
        <v>96.69989721362381</v>
      </c>
      <c r="P9" s="33">
        <f t="shared" si="8"/>
        <v>1450.4984582043573</v>
      </c>
      <c r="Q9" s="28">
        <f t="shared" si="9"/>
        <v>0.04690939610977912</v>
      </c>
      <c r="R9" s="28">
        <f t="shared" si="0"/>
        <v>0.0031272930739852742</v>
      </c>
      <c r="S9" s="28">
        <f t="shared" si="0"/>
        <v>0.02345469805488956</v>
      </c>
      <c r="T9" s="29">
        <f t="shared" si="0"/>
        <v>0.0015636465369926371</v>
      </c>
      <c r="U9" s="27">
        <f>Q9/1/SQRT(2)*$B$33</f>
        <v>0.398039425087088</v>
      </c>
      <c r="V9" s="28">
        <f>S9/1/SQRT(2)*$B$33</f>
        <v>0.199019712543544</v>
      </c>
      <c r="W9" s="27">
        <f t="shared" si="10"/>
        <v>0.0019174369444235006</v>
      </c>
      <c r="X9" s="28">
        <f t="shared" si="11"/>
        <v>8.521941975215552E-06</v>
      </c>
      <c r="Y9" s="28">
        <f t="shared" si="12"/>
        <v>0.00047935923610587514</v>
      </c>
      <c r="Z9" s="29">
        <f t="shared" si="13"/>
        <v>2.130485493803888E-06</v>
      </c>
      <c r="AA9" s="30">
        <f t="shared" si="14"/>
        <v>753.6941847767022</v>
      </c>
      <c r="AB9" s="31">
        <f t="shared" si="15"/>
        <v>1507.3883695534043</v>
      </c>
      <c r="AC9" s="32">
        <f t="shared" si="16"/>
        <v>37684.70923883511</v>
      </c>
      <c r="AD9" s="33">
        <f t="shared" si="17"/>
        <v>75369.41847767022</v>
      </c>
      <c r="AE9" s="32">
        <f t="shared" si="18"/>
        <v>8.773233554562122</v>
      </c>
      <c r="AF9" s="33">
        <f t="shared" si="19"/>
        <v>17.546467109124244</v>
      </c>
    </row>
    <row r="10" spans="1:32" ht="12.75">
      <c r="A10" s="21" t="s">
        <v>32</v>
      </c>
      <c r="B10" s="22">
        <v>1200</v>
      </c>
      <c r="C10" s="21">
        <v>0.5</v>
      </c>
      <c r="D10" s="23">
        <v>0.312</v>
      </c>
      <c r="E10" s="22">
        <v>0.25</v>
      </c>
      <c r="F10" s="21">
        <v>77</v>
      </c>
      <c r="G10" s="23">
        <v>2000</v>
      </c>
      <c r="H10" s="26">
        <f t="shared" si="1"/>
        <v>0.0025131999999999997</v>
      </c>
      <c r="I10" s="24">
        <v>0.85</v>
      </c>
      <c r="J10" s="25">
        <f t="shared" si="2"/>
        <v>1.540096E-05</v>
      </c>
      <c r="K10" s="26">
        <f t="shared" si="3"/>
        <v>0.032652457404350875</v>
      </c>
      <c r="L10" s="26">
        <f t="shared" si="4"/>
        <v>0.0064</v>
      </c>
      <c r="M10" s="32">
        <f t="shared" si="5"/>
        <v>24.817925747645475</v>
      </c>
      <c r="N10" s="34">
        <f t="shared" si="6"/>
        <v>372.26888621468214</v>
      </c>
      <c r="O10" s="34">
        <f t="shared" si="7"/>
        <v>49.63585149529095</v>
      </c>
      <c r="P10" s="33">
        <f t="shared" si="8"/>
        <v>744.5377724293643</v>
      </c>
      <c r="Q10" s="28">
        <f t="shared" si="9"/>
        <v>0.130877005099733</v>
      </c>
      <c r="R10" s="28">
        <f t="shared" si="0"/>
        <v>0.008725133673315533</v>
      </c>
      <c r="S10" s="28">
        <f t="shared" si="0"/>
        <v>0.0654385025498665</v>
      </c>
      <c r="T10" s="29">
        <f t="shared" si="0"/>
        <v>0.0043625668366577665</v>
      </c>
      <c r="U10" s="27">
        <f>Q10/1/SQRT(2)*$B$33</f>
        <v>1.1105282136888905</v>
      </c>
      <c r="V10" s="28">
        <f>S10/1/SQRT(2)*$B$33</f>
        <v>0.5552641068444453</v>
      </c>
      <c r="W10" s="27">
        <f t="shared" si="10"/>
        <v>0.02030419001326099</v>
      </c>
      <c r="X10" s="28">
        <f t="shared" si="11"/>
        <v>9.024084450338219E-05</v>
      </c>
      <c r="Y10" s="28">
        <f t="shared" si="12"/>
        <v>0.005076047503315247</v>
      </c>
      <c r="Z10" s="29">
        <f t="shared" si="13"/>
        <v>2.2560211125845546E-05</v>
      </c>
      <c r="AA10" s="30">
        <f t="shared" si="14"/>
        <v>270.1417184201712</v>
      </c>
      <c r="AB10" s="31">
        <f t="shared" si="15"/>
        <v>540.2834368403423</v>
      </c>
      <c r="AC10" s="32">
        <f t="shared" si="16"/>
        <v>13507.08592100856</v>
      </c>
      <c r="AD10" s="33">
        <f t="shared" si="17"/>
        <v>27014.17184201712</v>
      </c>
      <c r="AE10" s="32">
        <f t="shared" si="18"/>
        <v>6.993810601730083</v>
      </c>
      <c r="AF10" s="33">
        <f t="shared" si="19"/>
        <v>13.987621203460167</v>
      </c>
    </row>
    <row r="11" spans="1:32" ht="12.75">
      <c r="A11" s="21" t="s">
        <v>33</v>
      </c>
      <c r="B11" s="22">
        <v>2400</v>
      </c>
      <c r="C11" s="21">
        <v>0.5</v>
      </c>
      <c r="D11" s="23">
        <v>0.312</v>
      </c>
      <c r="E11" s="22">
        <v>0.5</v>
      </c>
      <c r="F11" s="21">
        <v>77</v>
      </c>
      <c r="G11" s="23">
        <v>2000</v>
      </c>
      <c r="H11" s="26">
        <f t="shared" si="1"/>
        <v>0.0025131999999999997</v>
      </c>
      <c r="I11" s="24">
        <v>0.95</v>
      </c>
      <c r="J11" s="25">
        <f t="shared" si="2"/>
        <v>3.080192E-05</v>
      </c>
      <c r="K11" s="26">
        <f t="shared" si="3"/>
        <v>0.032652457404350875</v>
      </c>
      <c r="L11" s="26">
        <f t="shared" si="4"/>
        <v>0.0128</v>
      </c>
      <c r="M11" s="32">
        <f t="shared" si="5"/>
        <v>12.408962873822738</v>
      </c>
      <c r="N11" s="34">
        <f t="shared" si="6"/>
        <v>186.13444310734107</v>
      </c>
      <c r="O11" s="34">
        <f t="shared" si="7"/>
        <v>24.817925747645475</v>
      </c>
      <c r="P11" s="33">
        <f t="shared" si="8"/>
        <v>372.26888621468214</v>
      </c>
      <c r="Q11" s="28">
        <f t="shared" si="9"/>
        <v>0.261754010199466</v>
      </c>
      <c r="R11" s="28">
        <f t="shared" si="0"/>
        <v>0.017450267346631066</v>
      </c>
      <c r="S11" s="28">
        <f t="shared" si="0"/>
        <v>0.130877005099733</v>
      </c>
      <c r="T11" s="29">
        <f t="shared" si="0"/>
        <v>0.008725133673315533</v>
      </c>
      <c r="U11" s="27">
        <f>Q11/1/SQRT(2)*$B$33</f>
        <v>2.221056427377781</v>
      </c>
      <c r="V11" s="28">
        <f>S11/1/SQRT(2)*$B$33</f>
        <v>1.1105282136888905</v>
      </c>
      <c r="W11" s="27">
        <f t="shared" si="10"/>
        <v>0.16243352010608791</v>
      </c>
      <c r="X11" s="28">
        <f t="shared" si="11"/>
        <v>0.0007219267560270575</v>
      </c>
      <c r="Y11" s="28">
        <f t="shared" si="12"/>
        <v>0.04060838002652198</v>
      </c>
      <c r="Z11" s="29">
        <f t="shared" si="13"/>
        <v>0.00018048168900676437</v>
      </c>
      <c r="AA11" s="30">
        <f t="shared" si="14"/>
        <v>135.0708592100856</v>
      </c>
      <c r="AB11" s="31">
        <f t="shared" si="15"/>
        <v>270.1417184201712</v>
      </c>
      <c r="AC11" s="32">
        <f t="shared" si="16"/>
        <v>6753.54296050428</v>
      </c>
      <c r="AD11" s="33">
        <f t="shared" si="17"/>
        <v>13507.08592100856</v>
      </c>
      <c r="AE11" s="32">
        <f t="shared" si="18"/>
        <v>6.038260897423938</v>
      </c>
      <c r="AF11" s="33">
        <f t="shared" si="19"/>
        <v>12.076521794847876</v>
      </c>
    </row>
    <row r="12" spans="1:32" ht="12.75">
      <c r="A12" s="21" t="s">
        <v>34</v>
      </c>
      <c r="B12" s="22">
        <v>1170</v>
      </c>
      <c r="C12" s="21">
        <v>0.83</v>
      </c>
      <c r="D12" s="23">
        <v>0.52</v>
      </c>
      <c r="E12" s="22">
        <v>0.25</v>
      </c>
      <c r="F12" s="21">
        <v>77</v>
      </c>
      <c r="G12" s="23">
        <v>2000</v>
      </c>
      <c r="H12" s="26">
        <f t="shared" si="1"/>
        <v>0.0025131999999999997</v>
      </c>
      <c r="I12" s="24">
        <v>1.2</v>
      </c>
      <c r="J12" s="25">
        <f t="shared" si="2"/>
        <v>2.5395200000000004E-05</v>
      </c>
      <c r="K12" s="26">
        <f t="shared" si="3"/>
        <v>0.054286721054031636</v>
      </c>
      <c r="L12" s="26">
        <f t="shared" si="4"/>
        <v>0.0064</v>
      </c>
      <c r="M12" s="32">
        <f t="shared" si="5"/>
        <v>15.050871098572092</v>
      </c>
      <c r="N12" s="34">
        <f t="shared" si="6"/>
        <v>225.7630664785814</v>
      </c>
      <c r="O12" s="34">
        <f t="shared" si="7"/>
        <v>30.101742197144183</v>
      </c>
      <c r="P12" s="33">
        <f t="shared" si="8"/>
        <v>451.5261329571628</v>
      </c>
      <c r="Q12" s="28">
        <f t="shared" si="9"/>
        <v>0.3587938019746245</v>
      </c>
      <c r="R12" s="28">
        <f t="shared" si="0"/>
        <v>0.023919586798308298</v>
      </c>
      <c r="S12" s="28">
        <f t="shared" si="0"/>
        <v>0.17939690098731226</v>
      </c>
      <c r="T12" s="29">
        <f t="shared" si="0"/>
        <v>0.011959793399154149</v>
      </c>
      <c r="U12" s="27">
        <f>Q12/1/SQRT(2)*$B$33</f>
        <v>3.044466365087523</v>
      </c>
      <c r="V12" s="28">
        <f>S12/1/SQRT(2)*$B$33</f>
        <v>1.5222331825437616</v>
      </c>
      <c r="W12" s="27">
        <f t="shared" si="10"/>
        <v>0.15134739212487222</v>
      </c>
      <c r="X12" s="28">
        <f t="shared" si="11"/>
        <v>0.0006726550761105431</v>
      </c>
      <c r="Y12" s="28">
        <f t="shared" si="12"/>
        <v>0.037836848031218055</v>
      </c>
      <c r="Z12" s="29">
        <f t="shared" si="13"/>
        <v>0.00016816376902763577</v>
      </c>
      <c r="AA12" s="30">
        <f t="shared" si="14"/>
        <v>98.53943648064428</v>
      </c>
      <c r="AB12" s="31">
        <f t="shared" si="15"/>
        <v>197.07887296128857</v>
      </c>
      <c r="AC12" s="32">
        <f t="shared" si="16"/>
        <v>4926.9718240322145</v>
      </c>
      <c r="AD12" s="33">
        <f t="shared" si="17"/>
        <v>9853.943648064429</v>
      </c>
      <c r="AE12" s="32">
        <f t="shared" si="18"/>
        <v>4.993517809599855</v>
      </c>
      <c r="AF12" s="33">
        <f t="shared" si="19"/>
        <v>9.98703561919971</v>
      </c>
    </row>
    <row r="13" spans="1:32" ht="12.75">
      <c r="A13" s="21" t="s">
        <v>35</v>
      </c>
      <c r="B13" s="22">
        <v>1200</v>
      </c>
      <c r="C13" s="21">
        <v>0.87</v>
      </c>
      <c r="D13" s="23">
        <v>0.54</v>
      </c>
      <c r="E13" s="22">
        <v>0.25</v>
      </c>
      <c r="F13" s="21">
        <v>77</v>
      </c>
      <c r="G13" s="23">
        <v>2000</v>
      </c>
      <c r="H13" s="26">
        <f t="shared" si="1"/>
        <v>0.0025131999999999997</v>
      </c>
      <c r="I13" s="24">
        <v>1.5</v>
      </c>
      <c r="J13" s="25">
        <f t="shared" si="2"/>
        <v>2.7033599999999998E-05</v>
      </c>
      <c r="K13" s="26">
        <f t="shared" si="3"/>
        <v>0.05669946421198859</v>
      </c>
      <c r="L13" s="26">
        <f t="shared" si="4"/>
        <v>0.0064</v>
      </c>
      <c r="M13" s="32">
        <f t="shared" si="5"/>
        <v>14.13869709259803</v>
      </c>
      <c r="N13" s="34">
        <f t="shared" si="6"/>
        <v>212.08045638897045</v>
      </c>
      <c r="O13" s="34">
        <f t="shared" si="7"/>
        <v>28.27739418519606</v>
      </c>
      <c r="P13" s="33">
        <f t="shared" si="8"/>
        <v>424.1609127779409</v>
      </c>
      <c r="Q13" s="28">
        <f t="shared" si="9"/>
        <v>0.39891697982985125</v>
      </c>
      <c r="R13" s="28">
        <f t="shared" si="0"/>
        <v>0.02659446532199008</v>
      </c>
      <c r="S13" s="28">
        <f t="shared" si="0"/>
        <v>0.19945848991492562</v>
      </c>
      <c r="T13" s="29">
        <f t="shared" si="0"/>
        <v>0.01329723266099504</v>
      </c>
      <c r="U13" s="27">
        <f>Q13/1/SQRT(2)*$B$33</f>
        <v>3.3849228188177403</v>
      </c>
      <c r="V13" s="28">
        <f>S13/1/SQRT(2)*$B$33</f>
        <v>1.6924614094088701</v>
      </c>
      <c r="W13" s="27">
        <f t="shared" si="10"/>
        <v>0.19068521652490264</v>
      </c>
      <c r="X13" s="28">
        <f t="shared" si="11"/>
        <v>0.0008474898512217894</v>
      </c>
      <c r="Y13" s="28">
        <f t="shared" si="12"/>
        <v>0.04767130413122566</v>
      </c>
      <c r="Z13" s="29">
        <f t="shared" si="13"/>
        <v>0.00021187246280544736</v>
      </c>
      <c r="AA13" s="30">
        <f t="shared" si="14"/>
        <v>88.62831327562786</v>
      </c>
      <c r="AB13" s="31">
        <f t="shared" si="15"/>
        <v>177.25662655125572</v>
      </c>
      <c r="AC13" s="32">
        <f t="shared" si="16"/>
        <v>4431.415663781393</v>
      </c>
      <c r="AD13" s="33">
        <f t="shared" si="17"/>
        <v>8862.831327562786</v>
      </c>
      <c r="AE13" s="32">
        <f t="shared" si="18"/>
        <v>4.806704573176367</v>
      </c>
      <c r="AF13" s="33">
        <f t="shared" si="19"/>
        <v>9.613409146352733</v>
      </c>
    </row>
    <row r="14" spans="1:32" ht="12.75">
      <c r="A14" s="21" t="s">
        <v>36</v>
      </c>
      <c r="B14" s="22">
        <v>396</v>
      </c>
      <c r="C14" s="21">
        <v>0.23</v>
      </c>
      <c r="D14" s="23">
        <v>0.12</v>
      </c>
      <c r="E14" s="22">
        <v>0.06</v>
      </c>
      <c r="F14" s="21">
        <v>77</v>
      </c>
      <c r="G14" s="23">
        <v>2000</v>
      </c>
      <c r="H14" s="26">
        <f t="shared" si="1"/>
        <v>0.0025131999999999997</v>
      </c>
      <c r="I14" s="24">
        <v>0.5</v>
      </c>
      <c r="J14" s="25">
        <f t="shared" si="2"/>
        <v>2.162688E-06</v>
      </c>
      <c r="K14" s="26">
        <f t="shared" si="3"/>
        <v>0.014074335088082273</v>
      </c>
      <c r="L14" s="26">
        <f t="shared" si="4"/>
        <v>0.001536</v>
      </c>
      <c r="M14" s="32">
        <f t="shared" si="5"/>
        <v>176.73371365747533</v>
      </c>
      <c r="N14" s="34">
        <f t="shared" si="6"/>
        <v>2651.00570486213</v>
      </c>
      <c r="O14" s="34">
        <f t="shared" si="7"/>
        <v>353.46742731495067</v>
      </c>
      <c r="P14" s="33">
        <f t="shared" si="8"/>
        <v>5302.01140972426</v>
      </c>
      <c r="Q14" s="28">
        <f t="shared" si="9"/>
        <v>0.007921755627826833</v>
      </c>
      <c r="R14" s="28">
        <f t="shared" si="0"/>
        <v>0.0005281170418551222</v>
      </c>
      <c r="S14" s="28">
        <f t="shared" si="0"/>
        <v>0.0039608778139134165</v>
      </c>
      <c r="T14" s="29">
        <f t="shared" si="0"/>
        <v>0.0002640585209275611</v>
      </c>
      <c r="U14" s="27">
        <f>Q14/1/SQRT(2)*$B$33</f>
        <v>0.06721832548006859</v>
      </c>
      <c r="V14" s="28">
        <f>S14/1/SQRT(2)*$B$33</f>
        <v>0.033609162740034296</v>
      </c>
      <c r="W14" s="27">
        <f t="shared" si="10"/>
        <v>2.423460340515075E-05</v>
      </c>
      <c r="X14" s="28">
        <f t="shared" si="11"/>
        <v>1.0770934846733667E-07</v>
      </c>
      <c r="Y14" s="28">
        <f t="shared" si="12"/>
        <v>6.058650851287688E-06</v>
      </c>
      <c r="Z14" s="29">
        <f t="shared" si="13"/>
        <v>2.6927337116834168E-08</v>
      </c>
      <c r="AA14" s="30">
        <f t="shared" si="14"/>
        <v>4463.068632808404</v>
      </c>
      <c r="AB14" s="31">
        <f t="shared" si="15"/>
        <v>8926.137265616808</v>
      </c>
      <c r="AC14" s="32">
        <f t="shared" si="16"/>
        <v>223153.43164042017</v>
      </c>
      <c r="AD14" s="33">
        <f t="shared" si="17"/>
        <v>446306.86328084033</v>
      </c>
      <c r="AE14" s="32">
        <f t="shared" si="18"/>
        <v>16.649729696243437</v>
      </c>
      <c r="AF14" s="33">
        <f t="shared" si="19"/>
        <v>33.299459392486874</v>
      </c>
    </row>
    <row r="15" spans="1:32" ht="12.75">
      <c r="A15" s="21" t="s">
        <v>37</v>
      </c>
      <c r="B15" s="22">
        <v>1375</v>
      </c>
      <c r="C15" s="21">
        <v>2.9</v>
      </c>
      <c r="D15" s="23">
        <v>1.53</v>
      </c>
      <c r="E15" s="22">
        <v>0.5</v>
      </c>
      <c r="F15" s="21">
        <v>43</v>
      </c>
      <c r="G15" s="23">
        <v>850</v>
      </c>
      <c r="H15" s="26">
        <f t="shared" si="1"/>
        <v>0.00106811</v>
      </c>
      <c r="I15" s="24">
        <v>15</v>
      </c>
      <c r="J15" s="25">
        <f t="shared" si="2"/>
        <v>0.00022446079999999998</v>
      </c>
      <c r="K15" s="26">
        <f t="shared" si="3"/>
        <v>0.1781408698291556</v>
      </c>
      <c r="L15" s="26">
        <f t="shared" si="4"/>
        <v>0.0128</v>
      </c>
      <c r="M15" s="32">
        <f t="shared" si="5"/>
        <v>1.70283578122531</v>
      </c>
      <c r="N15" s="34">
        <f t="shared" si="6"/>
        <v>25.542536718379655</v>
      </c>
      <c r="O15" s="34">
        <f t="shared" si="7"/>
        <v>3.40567156245062</v>
      </c>
      <c r="P15" s="33">
        <f t="shared" si="8"/>
        <v>51.08507343675931</v>
      </c>
      <c r="Q15" s="28">
        <f t="shared" si="9"/>
        <v>24.48582993676792</v>
      </c>
      <c r="R15" s="28">
        <f t="shared" si="0"/>
        <v>1.6323886624511947</v>
      </c>
      <c r="S15" s="28">
        <f t="shared" si="0"/>
        <v>12.24291496838396</v>
      </c>
      <c r="T15" s="29">
        <f t="shared" si="0"/>
        <v>0.8161943312255974</v>
      </c>
      <c r="U15" s="27">
        <f>Q15/1/SQRT(2)*$B$33</f>
        <v>207.76915669523</v>
      </c>
      <c r="V15" s="28">
        <f>S15/1/SQRT(2)*$B$33</f>
        <v>103.884578347615</v>
      </c>
      <c r="W15" s="27">
        <f t="shared" si="10"/>
        <v>806.9053159541959</v>
      </c>
      <c r="X15" s="28">
        <f t="shared" si="11"/>
        <v>3.5862458486853157</v>
      </c>
      <c r="Y15" s="28">
        <f t="shared" si="12"/>
        <v>201.72632898854897</v>
      </c>
      <c r="Z15" s="29">
        <f t="shared" si="13"/>
        <v>0.8965614621713289</v>
      </c>
      <c r="AA15" s="30">
        <f aca="true" t="shared" si="20" ref="AA15:AB20">$B$31/U15*$B$25</f>
        <v>1.4439101778713983</v>
      </c>
      <c r="AB15" s="31">
        <f t="shared" si="20"/>
        <v>2.8878203557427966</v>
      </c>
      <c r="AC15" s="32">
        <f t="shared" si="16"/>
        <v>72.19550889356991</v>
      </c>
      <c r="AD15" s="33">
        <f t="shared" si="17"/>
        <v>144.39101778713982</v>
      </c>
      <c r="AE15" s="32">
        <f t="shared" si="18"/>
        <v>1.6530312402960325</v>
      </c>
      <c r="AF15" s="33">
        <f t="shared" si="19"/>
        <v>3.306062480592065</v>
      </c>
    </row>
    <row r="16" spans="1:32" ht="12.75">
      <c r="A16" s="21" t="s">
        <v>38</v>
      </c>
      <c r="B16" s="22">
        <v>1160</v>
      </c>
      <c r="C16" s="21">
        <v>2.4</v>
      </c>
      <c r="D16" s="23">
        <v>1.4</v>
      </c>
      <c r="E16" s="22">
        <v>0.5</v>
      </c>
      <c r="F16" s="21">
        <v>43</v>
      </c>
      <c r="G16" s="23">
        <v>850</v>
      </c>
      <c r="H16" s="26">
        <f t="shared" si="1"/>
        <v>0.00106811</v>
      </c>
      <c r="I16" s="24">
        <v>9</v>
      </c>
      <c r="J16" s="25">
        <f t="shared" si="2"/>
        <v>0.00016383999999999998</v>
      </c>
      <c r="K16" s="26">
        <f t="shared" si="3"/>
        <v>0.15280706667060753</v>
      </c>
      <c r="L16" s="26">
        <f t="shared" si="4"/>
        <v>0.0128</v>
      </c>
      <c r="M16" s="32">
        <f t="shared" si="5"/>
        <v>2.332885020278675</v>
      </c>
      <c r="N16" s="34">
        <f t="shared" si="6"/>
        <v>34.99327530418013</v>
      </c>
      <c r="O16" s="34">
        <f t="shared" si="7"/>
        <v>4.66577004055735</v>
      </c>
      <c r="P16" s="33">
        <f t="shared" si="8"/>
        <v>69.98655060836026</v>
      </c>
      <c r="Q16" s="28">
        <f t="shared" si="9"/>
        <v>15.331128793349608</v>
      </c>
      <c r="R16" s="28">
        <f t="shared" si="0"/>
        <v>1.0220752528899737</v>
      </c>
      <c r="S16" s="28">
        <f t="shared" si="0"/>
        <v>7.665564396674804</v>
      </c>
      <c r="T16" s="29">
        <f t="shared" si="0"/>
        <v>0.5110376264449868</v>
      </c>
      <c r="U16" s="27">
        <f>Q16/1/SQRT(2)*$B$33</f>
        <v>130.08894159626206</v>
      </c>
      <c r="V16" s="28">
        <f>S16/1/SQRT(2)*$B$33</f>
        <v>65.04447079813103</v>
      </c>
      <c r="W16" s="27">
        <f t="shared" si="10"/>
        <v>269.1787335925311</v>
      </c>
      <c r="X16" s="28">
        <f t="shared" si="11"/>
        <v>1.1963499270779152</v>
      </c>
      <c r="Y16" s="28">
        <f t="shared" si="12"/>
        <v>67.29468339813278</v>
      </c>
      <c r="Z16" s="29">
        <f t="shared" si="13"/>
        <v>0.2990874817694788</v>
      </c>
      <c r="AA16" s="30">
        <f t="shared" si="20"/>
        <v>2.306114542241922</v>
      </c>
      <c r="AB16" s="31">
        <f t="shared" si="20"/>
        <v>4.612229084483844</v>
      </c>
      <c r="AC16" s="32">
        <f t="shared" si="16"/>
        <v>115.3057271120961</v>
      </c>
      <c r="AD16" s="33">
        <f t="shared" si="17"/>
        <v>230.6114542241922</v>
      </c>
      <c r="AE16" s="32">
        <f t="shared" si="18"/>
        <v>1.9110994086122906</v>
      </c>
      <c r="AF16" s="33">
        <f t="shared" si="19"/>
        <v>3.822198817224581</v>
      </c>
    </row>
    <row r="17" spans="1:32" ht="12.75">
      <c r="A17" s="21" t="s">
        <v>39</v>
      </c>
      <c r="B17" s="22">
        <v>171</v>
      </c>
      <c r="C17" s="21">
        <v>2.4</v>
      </c>
      <c r="D17" s="23">
        <v>1.4</v>
      </c>
      <c r="E17" s="22">
        <v>0.5</v>
      </c>
      <c r="F17" s="21">
        <v>61</v>
      </c>
      <c r="G17" s="23">
        <v>125</v>
      </c>
      <c r="H17" s="26">
        <f t="shared" si="1"/>
        <v>0.00015707499999999998</v>
      </c>
      <c r="I17" s="24">
        <v>9</v>
      </c>
      <c r="J17" s="25">
        <f t="shared" si="2"/>
        <v>0.00016383999999999998</v>
      </c>
      <c r="K17" s="26">
        <f t="shared" si="3"/>
        <v>0.15280706667060753</v>
      </c>
      <c r="L17" s="26">
        <f t="shared" si="4"/>
        <v>0.0128</v>
      </c>
      <c r="M17" s="32">
        <f t="shared" si="5"/>
        <v>2.332885020278675</v>
      </c>
      <c r="N17" s="34">
        <f t="shared" si="6"/>
        <v>34.99327530418013</v>
      </c>
      <c r="O17" s="34">
        <f t="shared" si="7"/>
        <v>4.66577004055735</v>
      </c>
      <c r="P17" s="33">
        <f t="shared" si="8"/>
        <v>69.98655060836026</v>
      </c>
      <c r="Q17" s="28">
        <f t="shared" si="9"/>
        <v>104.25167579477736</v>
      </c>
      <c r="R17" s="28">
        <f t="shared" si="0"/>
        <v>6.950111719651822</v>
      </c>
      <c r="S17" s="28">
        <f t="shared" si="0"/>
        <v>52.12583789738868</v>
      </c>
      <c r="T17" s="29">
        <f t="shared" si="0"/>
        <v>3.475055859825911</v>
      </c>
      <c r="U17" s="27">
        <f>Q17/1/SQRT(2)*$B$33</f>
        <v>884.6048028545822</v>
      </c>
      <c r="V17" s="28">
        <f>S17/1/SQRT(2)*$B$33</f>
        <v>442.3024014272911</v>
      </c>
      <c r="W17" s="27">
        <f t="shared" si="10"/>
        <v>1830.4153884292118</v>
      </c>
      <c r="X17" s="28">
        <f t="shared" si="11"/>
        <v>8.135179504129827</v>
      </c>
      <c r="Y17" s="28">
        <f t="shared" si="12"/>
        <v>457.60384710730295</v>
      </c>
      <c r="Z17" s="29">
        <f t="shared" si="13"/>
        <v>2.0337948760324567</v>
      </c>
      <c r="AA17" s="30">
        <f t="shared" si="20"/>
        <v>0.3391344915061649</v>
      </c>
      <c r="AB17" s="31">
        <f t="shared" si="20"/>
        <v>0.6782689830123299</v>
      </c>
      <c r="AC17" s="32">
        <f t="shared" si="16"/>
        <v>16.956724575308247</v>
      </c>
      <c r="AD17" s="33">
        <f t="shared" si="17"/>
        <v>33.91344915061649</v>
      </c>
      <c r="AE17" s="32">
        <f t="shared" si="18"/>
        <v>1.9110994086122906</v>
      </c>
      <c r="AF17" s="33">
        <f t="shared" si="19"/>
        <v>3.822198817224581</v>
      </c>
    </row>
    <row r="18" spans="1:32" ht="12.75">
      <c r="A18" s="21" t="s">
        <v>30</v>
      </c>
      <c r="B18" s="22">
        <v>3225</v>
      </c>
      <c r="C18" s="21">
        <v>2.9</v>
      </c>
      <c r="D18" s="23">
        <v>1.53</v>
      </c>
      <c r="E18" s="22">
        <v>0.5</v>
      </c>
      <c r="F18" s="21">
        <v>77</v>
      </c>
      <c r="G18" s="23">
        <v>2000</v>
      </c>
      <c r="H18" s="26">
        <f t="shared" si="1"/>
        <v>0.0025131999999999997</v>
      </c>
      <c r="I18" s="24">
        <v>18</v>
      </c>
      <c r="J18" s="25">
        <f t="shared" si="2"/>
        <v>0.00022446079999999998</v>
      </c>
      <c r="K18" s="26">
        <f t="shared" si="3"/>
        <v>0.1781408698291556</v>
      </c>
      <c r="L18" s="26">
        <f t="shared" si="4"/>
        <v>0.0128</v>
      </c>
      <c r="M18" s="32">
        <f t="shared" si="5"/>
        <v>1.70283578122531</v>
      </c>
      <c r="N18" s="34">
        <f t="shared" si="6"/>
        <v>25.542536718379655</v>
      </c>
      <c r="O18" s="34">
        <f t="shared" si="7"/>
        <v>3.40567156245062</v>
      </c>
      <c r="P18" s="33">
        <f t="shared" si="8"/>
        <v>51.08507343675931</v>
      </c>
      <c r="Q18" s="28">
        <f t="shared" si="9"/>
        <v>10.406477723126368</v>
      </c>
      <c r="R18" s="28">
        <f t="shared" si="0"/>
        <v>0.6937651815417578</v>
      </c>
      <c r="S18" s="28">
        <f t="shared" si="0"/>
        <v>5.203238861563184</v>
      </c>
      <c r="T18" s="29">
        <f t="shared" si="0"/>
        <v>0.3468825907708789</v>
      </c>
      <c r="U18" s="27">
        <f>Q18/1/SQRT(2)*$B$33</f>
        <v>88.30189159547277</v>
      </c>
      <c r="V18" s="28">
        <f>S18/1/SQRT(2)*$B$33</f>
        <v>44.150945797736384</v>
      </c>
      <c r="W18" s="27">
        <f t="shared" si="10"/>
        <v>342.9347592805334</v>
      </c>
      <c r="X18" s="28">
        <f t="shared" si="11"/>
        <v>1.524154485691259</v>
      </c>
      <c r="Y18" s="28">
        <f t="shared" si="12"/>
        <v>85.73368982013335</v>
      </c>
      <c r="Z18" s="29">
        <f t="shared" si="13"/>
        <v>0.38103862142281475</v>
      </c>
      <c r="AA18" s="30">
        <f t="shared" si="20"/>
        <v>3.3974357126385835</v>
      </c>
      <c r="AB18" s="31">
        <f t="shared" si="20"/>
        <v>6.794871425277167</v>
      </c>
      <c r="AC18" s="32">
        <f t="shared" si="16"/>
        <v>169.87178563192919</v>
      </c>
      <c r="AD18" s="33">
        <f t="shared" si="17"/>
        <v>339.74357126385837</v>
      </c>
      <c r="AE18" s="32">
        <f t="shared" si="18"/>
        <v>1.6530312402960325</v>
      </c>
      <c r="AF18" s="33">
        <f t="shared" si="19"/>
        <v>3.306062480592065</v>
      </c>
    </row>
    <row r="19" spans="1:32" ht="12.75">
      <c r="A19" s="21" t="s">
        <v>40</v>
      </c>
      <c r="B19" s="22">
        <v>4912</v>
      </c>
      <c r="C19" s="21">
        <v>2.4</v>
      </c>
      <c r="D19" s="23">
        <v>1.4</v>
      </c>
      <c r="E19" s="22">
        <v>0.5</v>
      </c>
      <c r="F19" s="21" t="s">
        <v>41</v>
      </c>
      <c r="G19" s="23">
        <v>290</v>
      </c>
      <c r="H19" s="26">
        <f t="shared" si="1"/>
        <v>0.00036441399999999997</v>
      </c>
      <c r="I19" s="24">
        <v>12.95</v>
      </c>
      <c r="J19" s="25">
        <f t="shared" si="2"/>
        <v>0.00016383999999999998</v>
      </c>
      <c r="K19" s="26">
        <f t="shared" si="3"/>
        <v>0.15280706667060753</v>
      </c>
      <c r="L19" s="26">
        <f t="shared" si="4"/>
        <v>0.0128</v>
      </c>
      <c r="M19" s="32">
        <f t="shared" si="5"/>
        <v>2.332885020278675</v>
      </c>
      <c r="N19" s="34">
        <f t="shared" si="6"/>
        <v>34.99327530418013</v>
      </c>
      <c r="O19" s="34">
        <f t="shared" si="7"/>
        <v>4.66577004055735</v>
      </c>
      <c r="P19" s="33">
        <f t="shared" si="8"/>
        <v>69.98655060836026</v>
      </c>
      <c r="Q19" s="28">
        <f t="shared" si="9"/>
        <v>44.936067152921275</v>
      </c>
      <c r="R19" s="28">
        <f t="shared" si="0"/>
        <v>2.995737810194751</v>
      </c>
      <c r="S19" s="28">
        <f t="shared" si="0"/>
        <v>22.468033576460638</v>
      </c>
      <c r="T19" s="29">
        <f t="shared" si="0"/>
        <v>1.4978689050973755</v>
      </c>
      <c r="U19" s="27">
        <f>Q19/1/SQRT(2)*$B$33</f>
        <v>381.29517364421645</v>
      </c>
      <c r="V19" s="28">
        <f>S19/1/SQRT(2)*$B$33</f>
        <v>190.64758682210822</v>
      </c>
      <c r="W19" s="27">
        <f t="shared" si="10"/>
        <v>788.972150185005</v>
      </c>
      <c r="X19" s="28">
        <f t="shared" si="11"/>
        <v>3.5065428897111324</v>
      </c>
      <c r="Y19" s="28">
        <f t="shared" si="12"/>
        <v>197.24303754625126</v>
      </c>
      <c r="Z19" s="29">
        <f t="shared" si="13"/>
        <v>0.8766357224277831</v>
      </c>
      <c r="AA19" s="30">
        <f t="shared" si="20"/>
        <v>0.7867920202943026</v>
      </c>
      <c r="AB19" s="31">
        <f t="shared" si="20"/>
        <v>1.5735840405886052</v>
      </c>
      <c r="AC19" s="32">
        <f t="shared" si="16"/>
        <v>39.33960101471513</v>
      </c>
      <c r="AD19" s="33">
        <f t="shared" si="17"/>
        <v>78.67920202943026</v>
      </c>
      <c r="AE19" s="32">
        <f t="shared" si="18"/>
        <v>1.9110994086122906</v>
      </c>
      <c r="AF19" s="33">
        <f t="shared" si="19"/>
        <v>3.822198817224581</v>
      </c>
    </row>
    <row r="20" spans="1:32" ht="12.75">
      <c r="A20" s="35" t="s">
        <v>42</v>
      </c>
      <c r="B20" s="36">
        <v>50</v>
      </c>
      <c r="C20" s="35">
        <v>2.4</v>
      </c>
      <c r="D20" s="37">
        <v>1.4</v>
      </c>
      <c r="E20" s="36">
        <v>0.5</v>
      </c>
      <c r="F20" s="35">
        <v>67</v>
      </c>
      <c r="G20" s="37">
        <v>40</v>
      </c>
      <c r="H20" s="38">
        <f t="shared" si="1"/>
        <v>5.0264E-05</v>
      </c>
      <c r="I20" s="39">
        <v>9</v>
      </c>
      <c r="J20" s="40">
        <f t="shared" si="2"/>
        <v>0.00016383999999999998</v>
      </c>
      <c r="K20" s="38">
        <f t="shared" si="3"/>
        <v>0.15280706667060753</v>
      </c>
      <c r="L20" s="38">
        <f t="shared" si="4"/>
        <v>0.0128</v>
      </c>
      <c r="M20" s="41">
        <f t="shared" si="5"/>
        <v>2.332885020278675</v>
      </c>
      <c r="N20" s="42">
        <f t="shared" si="6"/>
        <v>34.99327530418013</v>
      </c>
      <c r="O20" s="42">
        <f t="shared" si="7"/>
        <v>4.66577004055735</v>
      </c>
      <c r="P20" s="43">
        <f t="shared" si="8"/>
        <v>69.98655060836026</v>
      </c>
      <c r="Q20" s="44">
        <f t="shared" si="9"/>
        <v>325.7864868586792</v>
      </c>
      <c r="R20" s="44">
        <f>$B$27/$H20*$K20/N20*1</f>
        <v>21.719099123911942</v>
      </c>
      <c r="S20" s="44">
        <f>$B$27/$H20*$K20/O20*1</f>
        <v>162.8932434293396</v>
      </c>
      <c r="T20" s="45">
        <f>$B$27/$H20*$K20/P20*1</f>
        <v>10.859549561955971</v>
      </c>
      <c r="U20" s="46">
        <f>Q20/1/SQRT(2)*$B$33</f>
        <v>2764.390008920569</v>
      </c>
      <c r="V20" s="44">
        <f>S20/1/SQRT(2)*$B$33</f>
        <v>1382.1950044602845</v>
      </c>
      <c r="W20" s="46">
        <f t="shared" si="10"/>
        <v>5720.048088841287</v>
      </c>
      <c r="X20" s="44">
        <f t="shared" si="11"/>
        <v>25.422435950405703</v>
      </c>
      <c r="Y20" s="44">
        <f t="shared" si="12"/>
        <v>1430.0120222103217</v>
      </c>
      <c r="Z20" s="45">
        <f t="shared" si="13"/>
        <v>6.355608987601426</v>
      </c>
      <c r="AA20" s="47">
        <f t="shared" si="20"/>
        <v>0.10852303728197278</v>
      </c>
      <c r="AB20" s="48">
        <f t="shared" si="20"/>
        <v>0.21704607456394556</v>
      </c>
      <c r="AC20" s="41">
        <f t="shared" si="16"/>
        <v>5.426151864098639</v>
      </c>
      <c r="AD20" s="43">
        <f t="shared" si="17"/>
        <v>10.852303728197278</v>
      </c>
      <c r="AE20" s="41">
        <f t="shared" si="18"/>
        <v>1.9110994086122906</v>
      </c>
      <c r="AF20" s="43">
        <f t="shared" si="19"/>
        <v>3.822198817224581</v>
      </c>
    </row>
    <row r="22" ht="12.75">
      <c r="G22" s="1" t="s">
        <v>43</v>
      </c>
    </row>
    <row r="23" spans="7:25" ht="12.75">
      <c r="G23" s="49" t="s">
        <v>8</v>
      </c>
      <c r="H23" s="13" t="s">
        <v>1</v>
      </c>
      <c r="I23" s="9"/>
      <c r="J23" s="9"/>
      <c r="K23" s="8"/>
      <c r="L23" s="11" t="s">
        <v>44</v>
      </c>
      <c r="M23" s="50"/>
      <c r="N23" s="7" t="s">
        <v>45</v>
      </c>
      <c r="O23" s="51"/>
      <c r="P23" s="52" t="s">
        <v>46</v>
      </c>
      <c r="Q23" s="53"/>
      <c r="R23" s="53"/>
      <c r="S23" s="54"/>
      <c r="T23" s="55" t="s">
        <v>47</v>
      </c>
      <c r="U23" s="56"/>
      <c r="V23" s="7" t="s">
        <v>6</v>
      </c>
      <c r="W23" s="54"/>
      <c r="X23" s="7" t="s">
        <v>48</v>
      </c>
      <c r="Y23" s="54"/>
    </row>
    <row r="24" spans="7:25" ht="12.75">
      <c r="G24" s="49"/>
      <c r="H24" s="57" t="s">
        <v>20</v>
      </c>
      <c r="I24" s="58" t="s">
        <v>21</v>
      </c>
      <c r="J24" s="58" t="s">
        <v>22</v>
      </c>
      <c r="K24" s="54" t="s">
        <v>23</v>
      </c>
      <c r="L24" s="59" t="s">
        <v>24</v>
      </c>
      <c r="M24" s="50" t="s">
        <v>25</v>
      </c>
      <c r="N24" s="59" t="s">
        <v>24</v>
      </c>
      <c r="O24" s="50" t="s">
        <v>25</v>
      </c>
      <c r="P24" s="57" t="s">
        <v>20</v>
      </c>
      <c r="Q24" s="58" t="s">
        <v>21</v>
      </c>
      <c r="R24" s="58" t="s">
        <v>22</v>
      </c>
      <c r="S24" s="54" t="s">
        <v>23</v>
      </c>
      <c r="T24" s="59" t="s">
        <v>24</v>
      </c>
      <c r="U24" s="50" t="s">
        <v>25</v>
      </c>
      <c r="V24" s="59" t="s">
        <v>24</v>
      </c>
      <c r="W24" s="50" t="s">
        <v>25</v>
      </c>
      <c r="X24" s="59" t="s">
        <v>24</v>
      </c>
      <c r="Y24" s="50" t="s">
        <v>25</v>
      </c>
    </row>
    <row r="25" spans="1:25" ht="12.75">
      <c r="A25" s="1" t="s">
        <v>49</v>
      </c>
      <c r="B25" s="1">
        <v>20000</v>
      </c>
      <c r="G25" s="60"/>
      <c r="H25" s="32"/>
      <c r="I25" s="23"/>
      <c r="J25" s="23"/>
      <c r="K25" s="22"/>
      <c r="L25" s="40"/>
      <c r="M25" s="43"/>
      <c r="N25" s="35"/>
      <c r="O25" s="36"/>
      <c r="P25" s="21"/>
      <c r="Q25" s="28"/>
      <c r="R25" s="28"/>
      <c r="S25" s="29"/>
      <c r="T25" s="35"/>
      <c r="U25" s="36"/>
      <c r="V25" s="35"/>
      <c r="W25" s="36"/>
      <c r="X25" s="21"/>
      <c r="Y25" s="22"/>
    </row>
    <row r="26" spans="1:25" ht="12.75">
      <c r="A26" s="1" t="s">
        <v>50</v>
      </c>
      <c r="B26" s="1">
        <v>10000</v>
      </c>
      <c r="G26" s="21" t="s">
        <v>26</v>
      </c>
      <c r="H26" s="61">
        <v>10</v>
      </c>
      <c r="I26" s="62">
        <v>151</v>
      </c>
      <c r="J26" s="62">
        <f>ROUND(O4,0)</f>
        <v>20</v>
      </c>
      <c r="K26" s="63">
        <f>ROUND(P4,0)</f>
        <v>303</v>
      </c>
      <c r="L26" s="28">
        <f>H26/I26*$B$29</f>
        <v>8.429087457852884</v>
      </c>
      <c r="M26" s="29">
        <f>J26/K26*$B$29</f>
        <v>8.40126868736492</v>
      </c>
      <c r="N26" s="57">
        <f>L26/4.44/$B$25/$J4/H26/$B$27</f>
        <v>1.0020042591698177</v>
      </c>
      <c r="O26" s="58">
        <f>M26/4.44/$B$26/$J4/J26/$B$27</f>
        <v>0.9986973144200825</v>
      </c>
      <c r="P26" s="57">
        <f>$N26*$B$27*$K4/$H4/H26/SQRT(2)</f>
        <v>0.5350931109233235</v>
      </c>
      <c r="Q26" s="58">
        <f>$N26*$B$27*$K4/$H4/I26/SQRT(2)</f>
        <v>0.03543662986247175</v>
      </c>
      <c r="R26" s="58">
        <f>$N26*$B$27*$K4/$H4/J26/SQRT(2)</f>
        <v>0.26754655546166173</v>
      </c>
      <c r="S26" s="54">
        <f>$N26*$B$27*$K4/$H4/K26/SQRT(2)</f>
        <v>0.017659838644334108</v>
      </c>
      <c r="T26" s="61">
        <f>P26*L26</f>
        <v>4.510346630067268</v>
      </c>
      <c r="U26" s="63">
        <f>R26*M26</f>
        <v>2.247730498812401</v>
      </c>
      <c r="V26" s="64">
        <f>$B$31/T26*1000000</f>
        <v>3325.686744341485</v>
      </c>
      <c r="W26" s="30">
        <f>$B$31/U26*1000000</f>
        <v>6673.397904208409</v>
      </c>
      <c r="X26" s="57">
        <f>V26/1000000*$B$25</f>
        <v>66.5137348868297</v>
      </c>
      <c r="Y26" s="54">
        <f>W26/1000000*$B$25</f>
        <v>133.46795808416817</v>
      </c>
    </row>
    <row r="27" spans="1:25" ht="12.75">
      <c r="A27" s="1" t="s">
        <v>51</v>
      </c>
      <c r="B27" s="1">
        <v>0.25</v>
      </c>
      <c r="C27" s="20" t="s">
        <v>52</v>
      </c>
      <c r="G27" s="21" t="s">
        <v>27</v>
      </c>
      <c r="H27" s="64">
        <f aca="true" t="shared" si="21" ref="H27:H42">ROUND(M5,0)</f>
        <v>5</v>
      </c>
      <c r="I27" s="30">
        <f aca="true" t="shared" si="22" ref="I27:I42">ROUND(N5,0)</f>
        <v>82</v>
      </c>
      <c r="J27" s="30">
        <f aca="true" t="shared" si="23" ref="J27:J42">ROUND(O5,0)</f>
        <v>11</v>
      </c>
      <c r="K27" s="31">
        <f aca="true" t="shared" si="24" ref="K27:K42">ROUND(P5,0)</f>
        <v>164</v>
      </c>
      <c r="L27" s="28">
        <f aca="true" t="shared" si="25" ref="L27:L42">H27/I27*$B$29</f>
        <v>7.760928086193814</v>
      </c>
      <c r="M27" s="29">
        <f aca="true" t="shared" si="26" ref="M27:M42">J27/K27*$B$29</f>
        <v>8.537020894813196</v>
      </c>
      <c r="N27" s="27">
        <f aca="true" t="shared" si="27" ref="N27:N42">L27/4.44/$B$25/$J5/H27/$B$27</f>
        <v>0.9987531824730258</v>
      </c>
      <c r="O27" s="28">
        <f aca="true" t="shared" si="28" ref="O27:O42">M27/4.44/$B$26/$J5/J27/$B$27</f>
        <v>0.9987531824730258</v>
      </c>
      <c r="P27" s="27">
        <f aca="true" t="shared" si="29" ref="P27:P42">$N27*$B$27*$K5/$H5/H27/SQRT(2)</f>
        <v>1.0667139237448842</v>
      </c>
      <c r="Q27" s="28">
        <f aca="true" t="shared" si="30" ref="Q27:Q42">$N27*$B$27*$K5/$H5/I27/SQRT(2)</f>
        <v>0.06504353193566367</v>
      </c>
      <c r="R27" s="28">
        <f aca="true" t="shared" si="31" ref="R27:R42">$N27*$B$27*$K5/$H5/J27/SQRT(2)</f>
        <v>0.4848699653385838</v>
      </c>
      <c r="S27" s="29">
        <f aca="true" t="shared" si="32" ref="S27:S42">$N27*$B$27*$K5/$H5/K27/SQRT(2)</f>
        <v>0.03252176596783184</v>
      </c>
      <c r="T27" s="64">
        <f aca="true" t="shared" si="33" ref="T27:T42">P27*L27</f>
        <v>8.278690050725677</v>
      </c>
      <c r="U27" s="31">
        <f aca="true" t="shared" si="34" ref="U27:U42">R27*M27</f>
        <v>4.13934502536284</v>
      </c>
      <c r="V27" s="64">
        <f aca="true" t="shared" si="35" ref="V27:V42">$B$31/T27*1000000</f>
        <v>1811.8808541074875</v>
      </c>
      <c r="W27" s="30">
        <f aca="true" t="shared" si="36" ref="W27:W42">$B$31/U27*1000000</f>
        <v>3623.7617082149736</v>
      </c>
      <c r="X27" s="27">
        <f aca="true" t="shared" si="37" ref="X27:X42">V27/1000000*$B$25</f>
        <v>36.23761708214975</v>
      </c>
      <c r="Y27" s="29">
        <f aca="true" t="shared" si="38" ref="Y27:Y42">W27/1000000*$B$25</f>
        <v>72.47523416429948</v>
      </c>
    </row>
    <row r="28" spans="1:25" ht="12.75">
      <c r="A28" s="1" t="s">
        <v>53</v>
      </c>
      <c r="B28" s="1">
        <f>B33/SQRT(2)</f>
        <v>8.48528137423857</v>
      </c>
      <c r="G28" s="21" t="s">
        <v>28</v>
      </c>
      <c r="H28" s="64">
        <f t="shared" si="21"/>
        <v>5</v>
      </c>
      <c r="I28" s="30">
        <f t="shared" si="22"/>
        <v>70</v>
      </c>
      <c r="J28" s="30">
        <f t="shared" si="23"/>
        <v>9</v>
      </c>
      <c r="K28" s="31">
        <f t="shared" si="24"/>
        <v>140</v>
      </c>
      <c r="L28" s="28">
        <f t="shared" si="25"/>
        <v>9.091372900969896</v>
      </c>
      <c r="M28" s="29">
        <f t="shared" si="26"/>
        <v>8.182235610872906</v>
      </c>
      <c r="N28" s="27">
        <f t="shared" si="27"/>
        <v>0.9998078658337176</v>
      </c>
      <c r="O28" s="28">
        <f t="shared" si="28"/>
        <v>0.9998078658337176</v>
      </c>
      <c r="P28" s="27">
        <f t="shared" si="29"/>
        <v>1.3008648619656922</v>
      </c>
      <c r="Q28" s="28">
        <f t="shared" si="30"/>
        <v>0.09291891871183515</v>
      </c>
      <c r="R28" s="28">
        <f t="shared" si="31"/>
        <v>0.7227027010920511</v>
      </c>
      <c r="S28" s="29">
        <f t="shared" si="32"/>
        <v>0.046459459355917575</v>
      </c>
      <c r="T28" s="64">
        <f t="shared" si="33"/>
        <v>11.826647553898837</v>
      </c>
      <c r="U28" s="31">
        <f t="shared" si="34"/>
        <v>5.913323776949419</v>
      </c>
      <c r="V28" s="64">
        <f t="shared" si="35"/>
        <v>1268.3222300858215</v>
      </c>
      <c r="W28" s="30">
        <f t="shared" si="36"/>
        <v>2536.644460171643</v>
      </c>
      <c r="X28" s="27">
        <f t="shared" si="37"/>
        <v>25.36644460171643</v>
      </c>
      <c r="Y28" s="29">
        <f t="shared" si="38"/>
        <v>50.73288920343286</v>
      </c>
    </row>
    <row r="29" spans="1:25" ht="12.75">
      <c r="A29" s="1" t="s">
        <v>54</v>
      </c>
      <c r="B29" s="1">
        <f>B34/SQRT(2)</f>
        <v>127.27922061357854</v>
      </c>
      <c r="G29" s="21" t="s">
        <v>29</v>
      </c>
      <c r="H29" s="64">
        <f t="shared" si="21"/>
        <v>2</v>
      </c>
      <c r="I29" s="30">
        <f t="shared" si="22"/>
        <v>35</v>
      </c>
      <c r="J29" s="30">
        <f t="shared" si="23"/>
        <v>5</v>
      </c>
      <c r="K29" s="31">
        <f t="shared" si="24"/>
        <v>70</v>
      </c>
      <c r="L29" s="28">
        <f t="shared" si="25"/>
        <v>7.273098320775917</v>
      </c>
      <c r="M29" s="29">
        <f t="shared" si="26"/>
        <v>9.091372900969896</v>
      </c>
      <c r="N29" s="27">
        <f t="shared" si="27"/>
        <v>0.9998078658337178</v>
      </c>
      <c r="O29" s="28">
        <f t="shared" si="28"/>
        <v>0.999807865833718</v>
      </c>
      <c r="P29" s="27">
        <f t="shared" si="29"/>
        <v>5.373137473336555</v>
      </c>
      <c r="Q29" s="28">
        <f t="shared" si="30"/>
        <v>0.30703642704780315</v>
      </c>
      <c r="R29" s="28">
        <f t="shared" si="31"/>
        <v>2.149254989334622</v>
      </c>
      <c r="S29" s="29">
        <f t="shared" si="32"/>
        <v>0.15351821352390158</v>
      </c>
      <c r="T29" s="64">
        <f t="shared" si="33"/>
        <v>39.07935713462225</v>
      </c>
      <c r="U29" s="31">
        <f t="shared" si="34"/>
        <v>19.539678567311125</v>
      </c>
      <c r="V29" s="64">
        <f t="shared" si="35"/>
        <v>383.8343591049196</v>
      </c>
      <c r="W29" s="30">
        <f t="shared" si="36"/>
        <v>767.6687182098392</v>
      </c>
      <c r="X29" s="27">
        <f t="shared" si="37"/>
        <v>7.676687182098392</v>
      </c>
      <c r="Y29" s="29">
        <f t="shared" si="38"/>
        <v>15.353374364196783</v>
      </c>
    </row>
    <row r="30" spans="1:25" ht="12.75">
      <c r="A30" s="1" t="s">
        <v>0</v>
      </c>
      <c r="B30" s="3">
        <v>1.2566E-06</v>
      </c>
      <c r="G30" s="21" t="s">
        <v>30</v>
      </c>
      <c r="H30" s="64">
        <f t="shared" si="21"/>
        <v>2</v>
      </c>
      <c r="I30" s="30">
        <f t="shared" si="22"/>
        <v>26</v>
      </c>
      <c r="J30" s="30">
        <f t="shared" si="23"/>
        <v>3</v>
      </c>
      <c r="K30" s="31">
        <f t="shared" si="24"/>
        <v>51</v>
      </c>
      <c r="L30" s="28">
        <f t="shared" si="25"/>
        <v>9.790709277967581</v>
      </c>
      <c r="M30" s="29">
        <f t="shared" si="26"/>
        <v>7.487012977269326</v>
      </c>
      <c r="N30" s="27">
        <f t="shared" si="27"/>
        <v>0.9824052583992176</v>
      </c>
      <c r="O30" s="28">
        <f t="shared" si="28"/>
        <v>1.0016681066031237</v>
      </c>
      <c r="P30" s="27">
        <f t="shared" si="29"/>
        <v>6.154917146198415</v>
      </c>
      <c r="Q30" s="28">
        <f t="shared" si="30"/>
        <v>0.4734551650921858</v>
      </c>
      <c r="R30" s="28">
        <f t="shared" si="31"/>
        <v>4.10327809746561</v>
      </c>
      <c r="S30" s="29">
        <f t="shared" si="32"/>
        <v>0.24136929985091826</v>
      </c>
      <c r="T30" s="64">
        <f t="shared" si="33"/>
        <v>60.26100440840657</v>
      </c>
      <c r="U30" s="31">
        <f t="shared" si="34"/>
        <v>30.721296365070014</v>
      </c>
      <c r="V30" s="64">
        <f t="shared" si="35"/>
        <v>248.91719192631743</v>
      </c>
      <c r="W30" s="30">
        <f t="shared" si="36"/>
        <v>488.2606457016227</v>
      </c>
      <c r="X30" s="27">
        <f t="shared" si="37"/>
        <v>4.9783438385263485</v>
      </c>
      <c r="Y30" s="29">
        <f t="shared" si="38"/>
        <v>9.765212914032455</v>
      </c>
    </row>
    <row r="31" spans="1:25" ht="12.75">
      <c r="A31" s="1" t="s">
        <v>55</v>
      </c>
      <c r="B31" s="1">
        <f>0.5*(0.000075)*20^2</f>
        <v>0.015</v>
      </c>
      <c r="G31" s="21" t="s">
        <v>31</v>
      </c>
      <c r="H31" s="64">
        <f t="shared" si="21"/>
        <v>48</v>
      </c>
      <c r="I31" s="30">
        <f t="shared" si="22"/>
        <v>725</v>
      </c>
      <c r="J31" s="30">
        <f t="shared" si="23"/>
        <v>97</v>
      </c>
      <c r="K31" s="31">
        <f t="shared" si="24"/>
        <v>1450</v>
      </c>
      <c r="L31" s="28">
        <f t="shared" si="25"/>
        <v>8.426762192347269</v>
      </c>
      <c r="M31" s="29">
        <f t="shared" si="26"/>
        <v>8.514540965184219</v>
      </c>
      <c r="N31" s="27">
        <f t="shared" si="27"/>
        <v>1.000343764278867</v>
      </c>
      <c r="O31" s="28">
        <f t="shared" si="28"/>
        <v>1.000343764278867</v>
      </c>
      <c r="P31" s="27">
        <f t="shared" si="29"/>
        <v>0.033423266586537236</v>
      </c>
      <c r="Q31" s="28">
        <f t="shared" si="30"/>
        <v>0.002212850753315569</v>
      </c>
      <c r="R31" s="28">
        <f t="shared" si="31"/>
        <v>0.016539348413956573</v>
      </c>
      <c r="S31" s="29">
        <f t="shared" si="32"/>
        <v>0.0011064253766577845</v>
      </c>
      <c r="T31" s="64">
        <f t="shared" si="33"/>
        <v>0.2816499192161757</v>
      </c>
      <c r="U31" s="31">
        <f t="shared" si="34"/>
        <v>0.14082495960808789</v>
      </c>
      <c r="V31" s="64">
        <f t="shared" si="35"/>
        <v>53257.60448199169</v>
      </c>
      <c r="W31" s="30">
        <f t="shared" si="36"/>
        <v>106515.20896398337</v>
      </c>
      <c r="X31" s="27">
        <f t="shared" si="37"/>
        <v>1065.152089639834</v>
      </c>
      <c r="Y31" s="29">
        <f t="shared" si="38"/>
        <v>2130.304179279667</v>
      </c>
    </row>
    <row r="32" spans="1:25" ht="12.75">
      <c r="A32" s="1" t="s">
        <v>56</v>
      </c>
      <c r="B32" s="3">
        <v>8.5E-07</v>
      </c>
      <c r="G32" s="21" t="s">
        <v>32</v>
      </c>
      <c r="H32" s="64">
        <f t="shared" si="21"/>
        <v>25</v>
      </c>
      <c r="I32" s="30">
        <f t="shared" si="22"/>
        <v>372</v>
      </c>
      <c r="J32" s="30">
        <f t="shared" si="23"/>
        <v>50</v>
      </c>
      <c r="K32" s="31">
        <f t="shared" si="24"/>
        <v>745</v>
      </c>
      <c r="L32" s="28">
        <f t="shared" si="25"/>
        <v>8.553711062740494</v>
      </c>
      <c r="M32" s="29">
        <f t="shared" si="26"/>
        <v>8.54222957138111</v>
      </c>
      <c r="N32" s="27">
        <f t="shared" si="27"/>
        <v>1.0007228124050593</v>
      </c>
      <c r="O32" s="28">
        <f t="shared" si="28"/>
        <v>0.9993795603078715</v>
      </c>
      <c r="P32" s="27">
        <f t="shared" si="29"/>
        <v>0.0919364272852321</v>
      </c>
      <c r="Q32" s="28">
        <f t="shared" si="30"/>
        <v>0.006178523339061298</v>
      </c>
      <c r="R32" s="28">
        <f t="shared" si="31"/>
        <v>0.04596821364261605</v>
      </c>
      <c r="S32" s="29">
        <f t="shared" si="32"/>
        <v>0.0030851150095715474</v>
      </c>
      <c r="T32" s="64">
        <f t="shared" si="33"/>
        <v>0.7863976351385268</v>
      </c>
      <c r="U32" s="31">
        <f t="shared" si="34"/>
        <v>0.3926710339215194</v>
      </c>
      <c r="V32" s="64">
        <f t="shared" si="35"/>
        <v>19074.319822131325</v>
      </c>
      <c r="W32" s="30">
        <f t="shared" si="36"/>
        <v>38199.91469754795</v>
      </c>
      <c r="X32" s="27">
        <f t="shared" si="37"/>
        <v>381.48639644262647</v>
      </c>
      <c r="Y32" s="29">
        <f t="shared" si="38"/>
        <v>763.998293950959</v>
      </c>
    </row>
    <row r="33" spans="1:28" ht="12.75">
      <c r="A33" s="1" t="s">
        <v>57</v>
      </c>
      <c r="B33" s="1">
        <v>12</v>
      </c>
      <c r="G33" s="21" t="s">
        <v>33</v>
      </c>
      <c r="H33" s="64">
        <f t="shared" si="21"/>
        <v>12</v>
      </c>
      <c r="I33" s="30">
        <f t="shared" si="22"/>
        <v>186</v>
      </c>
      <c r="J33" s="30">
        <f t="shared" si="23"/>
        <v>25</v>
      </c>
      <c r="K33" s="31">
        <f t="shared" si="24"/>
        <v>372</v>
      </c>
      <c r="L33" s="28">
        <f t="shared" si="25"/>
        <v>8.211562620230874</v>
      </c>
      <c r="M33" s="29">
        <f t="shared" si="26"/>
        <v>8.553711062740494</v>
      </c>
      <c r="N33" s="27">
        <f t="shared" si="27"/>
        <v>1.0007228124050593</v>
      </c>
      <c r="O33" s="28">
        <f t="shared" si="28"/>
        <v>1.0007228124050593</v>
      </c>
      <c r="P33" s="27">
        <f t="shared" si="29"/>
        <v>0.19153422351090021</v>
      </c>
      <c r="Q33" s="28">
        <f t="shared" si="30"/>
        <v>0.012357046678122596</v>
      </c>
      <c r="R33" s="28">
        <f t="shared" si="31"/>
        <v>0.0919364272852321</v>
      </c>
      <c r="S33" s="29">
        <f t="shared" si="32"/>
        <v>0.006178523339061298</v>
      </c>
      <c r="T33" s="64">
        <f t="shared" si="33"/>
        <v>1.5727952702770536</v>
      </c>
      <c r="U33" s="31">
        <f t="shared" si="34"/>
        <v>0.7863976351385268</v>
      </c>
      <c r="V33" s="64">
        <f t="shared" si="35"/>
        <v>9537.159911065663</v>
      </c>
      <c r="W33" s="30">
        <f t="shared" si="36"/>
        <v>19074.319822131325</v>
      </c>
      <c r="X33" s="27">
        <f t="shared" si="37"/>
        <v>190.74319822131324</v>
      </c>
      <c r="Y33" s="29">
        <f t="shared" si="38"/>
        <v>381.48639644262647</v>
      </c>
      <c r="AB33" s="4"/>
    </row>
    <row r="34" spans="1:25" ht="12.75">
      <c r="A34" s="1" t="s">
        <v>58</v>
      </c>
      <c r="B34" s="1">
        <v>180</v>
      </c>
      <c r="G34" s="21" t="s">
        <v>34</v>
      </c>
      <c r="H34" s="64">
        <f t="shared" si="21"/>
        <v>15</v>
      </c>
      <c r="I34" s="30">
        <f t="shared" si="22"/>
        <v>226</v>
      </c>
      <c r="J34" s="30">
        <f t="shared" si="23"/>
        <v>30</v>
      </c>
      <c r="K34" s="31">
        <f t="shared" si="24"/>
        <v>452</v>
      </c>
      <c r="L34" s="28">
        <f t="shared" si="25"/>
        <v>8.447735881432205</v>
      </c>
      <c r="M34" s="29">
        <f t="shared" si="26"/>
        <v>8.447735881432205</v>
      </c>
      <c r="N34" s="27">
        <f t="shared" si="27"/>
        <v>0.9989516215866433</v>
      </c>
      <c r="O34" s="28">
        <f t="shared" si="28"/>
        <v>0.9989516215866433</v>
      </c>
      <c r="P34" s="27">
        <f t="shared" si="29"/>
        <v>0.2542990675813234</v>
      </c>
      <c r="Q34" s="28">
        <f t="shared" si="30"/>
        <v>0.01687825669787545</v>
      </c>
      <c r="R34" s="28">
        <f t="shared" si="31"/>
        <v>0.1271495337906617</v>
      </c>
      <c r="S34" s="29">
        <f t="shared" si="32"/>
        <v>0.008439128348937725</v>
      </c>
      <c r="T34" s="64">
        <f t="shared" si="33"/>
        <v>2.1482513578214992</v>
      </c>
      <c r="U34" s="31">
        <f t="shared" si="34"/>
        <v>1.0741256789107496</v>
      </c>
      <c r="V34" s="64">
        <f t="shared" si="35"/>
        <v>6982.423144008257</v>
      </c>
      <c r="W34" s="30">
        <f t="shared" si="36"/>
        <v>13964.846288016513</v>
      </c>
      <c r="X34" s="27">
        <f t="shared" si="37"/>
        <v>139.64846288016514</v>
      </c>
      <c r="Y34" s="29">
        <f t="shared" si="38"/>
        <v>279.2969257603303</v>
      </c>
    </row>
    <row r="35" spans="1:25" ht="12.75">
      <c r="A35" s="1" t="s">
        <v>59</v>
      </c>
      <c r="B35" s="65">
        <f>B32*0.5*B34^2</f>
        <v>0.013770000000000001</v>
      </c>
      <c r="G35" s="21" t="s">
        <v>35</v>
      </c>
      <c r="H35" s="64">
        <f t="shared" si="21"/>
        <v>14</v>
      </c>
      <c r="I35" s="30">
        <f t="shared" si="22"/>
        <v>212</v>
      </c>
      <c r="J35" s="30">
        <f t="shared" si="23"/>
        <v>28</v>
      </c>
      <c r="K35" s="31">
        <f t="shared" si="24"/>
        <v>424</v>
      </c>
      <c r="L35" s="28">
        <f t="shared" si="25"/>
        <v>8.4052315499533</v>
      </c>
      <c r="M35" s="29">
        <f t="shared" si="26"/>
        <v>8.4052315499533</v>
      </c>
      <c r="N35" s="27">
        <f t="shared" si="27"/>
        <v>1.0003795112687286</v>
      </c>
      <c r="O35" s="28">
        <f t="shared" si="28"/>
        <v>1.0003795112687286</v>
      </c>
      <c r="P35" s="27">
        <f t="shared" si="29"/>
        <v>0.28497953106303386</v>
      </c>
      <c r="Q35" s="28">
        <f t="shared" si="30"/>
        <v>0.018819402994728653</v>
      </c>
      <c r="R35" s="28">
        <f t="shared" si="31"/>
        <v>0.14248976553151693</v>
      </c>
      <c r="S35" s="29">
        <f t="shared" si="32"/>
        <v>0.009409701497364326</v>
      </c>
      <c r="T35" s="64">
        <f t="shared" si="33"/>
        <v>2.3953189455819084</v>
      </c>
      <c r="U35" s="31">
        <f t="shared" si="34"/>
        <v>1.1976594727909542</v>
      </c>
      <c r="V35" s="64">
        <f t="shared" si="35"/>
        <v>6262.214068680513</v>
      </c>
      <c r="W35" s="30">
        <f t="shared" si="36"/>
        <v>12524.428137361027</v>
      </c>
      <c r="X35" s="27">
        <f t="shared" si="37"/>
        <v>125.24428137361026</v>
      </c>
      <c r="Y35" s="29">
        <f t="shared" si="38"/>
        <v>250.48856274722053</v>
      </c>
    </row>
    <row r="36" spans="7:25" ht="12.75">
      <c r="G36" s="21" t="s">
        <v>36</v>
      </c>
      <c r="H36" s="64">
        <f t="shared" si="21"/>
        <v>177</v>
      </c>
      <c r="I36" s="30">
        <f t="shared" si="22"/>
        <v>2651</v>
      </c>
      <c r="J36" s="30">
        <f t="shared" si="23"/>
        <v>353</v>
      </c>
      <c r="K36" s="31">
        <f t="shared" si="24"/>
        <v>5302</v>
      </c>
      <c r="L36" s="28">
        <f t="shared" si="25"/>
        <v>8.498084514750435</v>
      </c>
      <c r="M36" s="29">
        <f t="shared" si="26"/>
        <v>8.474078626290687</v>
      </c>
      <c r="N36" s="27">
        <f t="shared" si="27"/>
        <v>1.0000021519660995</v>
      </c>
      <c r="O36" s="28">
        <f t="shared" si="28"/>
        <v>1.0000021519660995</v>
      </c>
      <c r="P36" s="27">
        <f t="shared" si="29"/>
        <v>0.005593111983397551</v>
      </c>
      <c r="Q36" s="28">
        <f t="shared" si="30"/>
        <v>0.000373436748797196</v>
      </c>
      <c r="R36" s="28">
        <f t="shared" si="31"/>
        <v>0.0028044782466327667</v>
      </c>
      <c r="S36" s="29">
        <f t="shared" si="32"/>
        <v>0.000186718374398598</v>
      </c>
      <c r="T36" s="64">
        <f t="shared" si="33"/>
        <v>0.04753073833537582</v>
      </c>
      <c r="U36" s="31">
        <f t="shared" si="34"/>
        <v>0.02376536916768791</v>
      </c>
      <c r="V36" s="64">
        <f t="shared" si="35"/>
        <v>315585.2512569937</v>
      </c>
      <c r="W36" s="30">
        <f t="shared" si="36"/>
        <v>631170.5025139874</v>
      </c>
      <c r="X36" s="27">
        <f t="shared" si="37"/>
        <v>6311.705025139873</v>
      </c>
      <c r="Y36" s="29">
        <f t="shared" si="38"/>
        <v>12623.410050279746</v>
      </c>
    </row>
    <row r="37" spans="7:25" ht="12.75">
      <c r="G37" s="21" t="s">
        <v>37</v>
      </c>
      <c r="H37" s="64">
        <f t="shared" si="21"/>
        <v>2</v>
      </c>
      <c r="I37" s="30">
        <f t="shared" si="22"/>
        <v>26</v>
      </c>
      <c r="J37" s="30">
        <f t="shared" si="23"/>
        <v>3</v>
      </c>
      <c r="K37" s="31">
        <f t="shared" si="24"/>
        <v>51</v>
      </c>
      <c r="L37" s="28">
        <f t="shared" si="25"/>
        <v>9.790709277967581</v>
      </c>
      <c r="M37" s="29">
        <f t="shared" si="26"/>
        <v>7.487012977269326</v>
      </c>
      <c r="N37" s="27">
        <f t="shared" si="27"/>
        <v>0.9824052583992176</v>
      </c>
      <c r="O37" s="28">
        <f t="shared" si="28"/>
        <v>1.0016681066031237</v>
      </c>
      <c r="P37" s="27">
        <f t="shared" si="29"/>
        <v>14.482157991055095</v>
      </c>
      <c r="Q37" s="28">
        <f t="shared" si="30"/>
        <v>1.1140121531580842</v>
      </c>
      <c r="R37" s="28">
        <f t="shared" si="31"/>
        <v>9.654771994036729</v>
      </c>
      <c r="S37" s="29">
        <f t="shared" si="32"/>
        <v>0.5679277643551017</v>
      </c>
      <c r="T37" s="64">
        <f t="shared" si="33"/>
        <v>141.79059860801547</v>
      </c>
      <c r="U37" s="31">
        <f t="shared" si="34"/>
        <v>72.28540321192943</v>
      </c>
      <c r="V37" s="64">
        <f t="shared" si="35"/>
        <v>105.7898065686849</v>
      </c>
      <c r="W37" s="30">
        <f t="shared" si="36"/>
        <v>207.5107744231897</v>
      </c>
      <c r="X37" s="27">
        <f t="shared" si="37"/>
        <v>2.115796131373698</v>
      </c>
      <c r="Y37" s="29">
        <f t="shared" si="38"/>
        <v>4.150215488463794</v>
      </c>
    </row>
    <row r="38" spans="7:25" ht="12.75">
      <c r="G38" s="66" t="s">
        <v>38</v>
      </c>
      <c r="H38" s="67">
        <f t="shared" si="21"/>
        <v>2</v>
      </c>
      <c r="I38" s="68">
        <f t="shared" si="22"/>
        <v>35</v>
      </c>
      <c r="J38" s="68">
        <v>5</v>
      </c>
      <c r="K38" s="69">
        <v>75</v>
      </c>
      <c r="L38" s="70">
        <f t="shared" si="25"/>
        <v>7.273098320775917</v>
      </c>
      <c r="M38" s="71">
        <f t="shared" si="26"/>
        <v>8.48528137423857</v>
      </c>
      <c r="N38" s="72">
        <f t="shared" si="27"/>
        <v>0.9998078658337178</v>
      </c>
      <c r="O38" s="70">
        <f t="shared" si="28"/>
        <v>0.93315400811147</v>
      </c>
      <c r="P38" s="72">
        <f t="shared" si="29"/>
        <v>12.642676407850715</v>
      </c>
      <c r="Q38" s="70">
        <f t="shared" si="30"/>
        <v>0.7224386518771838</v>
      </c>
      <c r="R38" s="70">
        <f t="shared" si="31"/>
        <v>5.057070563140286</v>
      </c>
      <c r="S38" s="71">
        <f t="shared" si="32"/>
        <v>0.33713803754268573</v>
      </c>
      <c r="T38" s="67">
        <f t="shared" si="33"/>
        <v>91.95142855205233</v>
      </c>
      <c r="U38" s="69">
        <f t="shared" si="34"/>
        <v>42.910666657624425</v>
      </c>
      <c r="V38" s="67">
        <f t="shared" si="35"/>
        <v>163.12960261959086</v>
      </c>
      <c r="W38" s="68">
        <f t="shared" si="36"/>
        <v>349.56343418483755</v>
      </c>
      <c r="X38" s="72">
        <f t="shared" si="37"/>
        <v>3.2625920523918173</v>
      </c>
      <c r="Y38" s="71">
        <f t="shared" si="38"/>
        <v>6.9912686836967515</v>
      </c>
    </row>
    <row r="39" spans="7:25" ht="12.75">
      <c r="G39" s="21" t="s">
        <v>39</v>
      </c>
      <c r="H39" s="64">
        <f t="shared" si="21"/>
        <v>2</v>
      </c>
      <c r="I39" s="30">
        <f t="shared" si="22"/>
        <v>35</v>
      </c>
      <c r="J39" s="30">
        <f t="shared" si="23"/>
        <v>5</v>
      </c>
      <c r="K39" s="31">
        <f t="shared" si="24"/>
        <v>70</v>
      </c>
      <c r="L39" s="28">
        <f t="shared" si="25"/>
        <v>7.273098320775917</v>
      </c>
      <c r="M39" s="29">
        <f t="shared" si="26"/>
        <v>9.091372900969896</v>
      </c>
      <c r="N39" s="27">
        <f t="shared" si="27"/>
        <v>0.9998078658337178</v>
      </c>
      <c r="O39" s="28">
        <f t="shared" si="28"/>
        <v>0.999807865833718</v>
      </c>
      <c r="P39" s="27">
        <f t="shared" si="29"/>
        <v>85.97019957338487</v>
      </c>
      <c r="Q39" s="28">
        <f t="shared" si="30"/>
        <v>4.91258283276485</v>
      </c>
      <c r="R39" s="28">
        <f t="shared" si="31"/>
        <v>34.38807982935395</v>
      </c>
      <c r="S39" s="29">
        <f t="shared" si="32"/>
        <v>2.456291416382425</v>
      </c>
      <c r="T39" s="64">
        <f t="shared" si="33"/>
        <v>625.269714153956</v>
      </c>
      <c r="U39" s="31">
        <f t="shared" si="34"/>
        <v>312.634857076978</v>
      </c>
      <c r="V39" s="64">
        <f t="shared" si="35"/>
        <v>23.989647444057475</v>
      </c>
      <c r="W39" s="30">
        <f t="shared" si="36"/>
        <v>47.97929488811495</v>
      </c>
      <c r="X39" s="27">
        <f t="shared" si="37"/>
        <v>0.4797929488811495</v>
      </c>
      <c r="Y39" s="29">
        <f t="shared" si="38"/>
        <v>0.959585897762299</v>
      </c>
    </row>
    <row r="40" spans="7:25" ht="12.75">
      <c r="G40" s="21" t="s">
        <v>30</v>
      </c>
      <c r="H40" s="64">
        <f t="shared" si="21"/>
        <v>2</v>
      </c>
      <c r="I40" s="30">
        <f t="shared" si="22"/>
        <v>26</v>
      </c>
      <c r="J40" s="30">
        <f t="shared" si="23"/>
        <v>3</v>
      </c>
      <c r="K40" s="31">
        <f t="shared" si="24"/>
        <v>51</v>
      </c>
      <c r="L40" s="28">
        <f t="shared" si="25"/>
        <v>9.790709277967581</v>
      </c>
      <c r="M40" s="29">
        <f t="shared" si="26"/>
        <v>7.487012977269326</v>
      </c>
      <c r="N40" s="27">
        <f t="shared" si="27"/>
        <v>0.9824052583992176</v>
      </c>
      <c r="O40" s="28">
        <f t="shared" si="28"/>
        <v>1.0016681066031237</v>
      </c>
      <c r="P40" s="27">
        <f t="shared" si="29"/>
        <v>6.154917146198415</v>
      </c>
      <c r="Q40" s="28">
        <f t="shared" si="30"/>
        <v>0.4734551650921858</v>
      </c>
      <c r="R40" s="28">
        <f t="shared" si="31"/>
        <v>4.10327809746561</v>
      </c>
      <c r="S40" s="29">
        <f t="shared" si="32"/>
        <v>0.24136929985091826</v>
      </c>
      <c r="T40" s="64">
        <f t="shared" si="33"/>
        <v>60.26100440840657</v>
      </c>
      <c r="U40" s="31">
        <f t="shared" si="34"/>
        <v>30.721296365070014</v>
      </c>
      <c r="V40" s="64">
        <f t="shared" si="35"/>
        <v>248.91719192631743</v>
      </c>
      <c r="W40" s="30">
        <f t="shared" si="36"/>
        <v>488.2606457016227</v>
      </c>
      <c r="X40" s="27">
        <f t="shared" si="37"/>
        <v>4.9783438385263485</v>
      </c>
      <c r="Y40" s="29">
        <f t="shared" si="38"/>
        <v>9.765212914032455</v>
      </c>
    </row>
    <row r="41" spans="7:25" ht="12.75">
      <c r="G41" s="21" t="s">
        <v>40</v>
      </c>
      <c r="H41" s="64">
        <f t="shared" si="21"/>
        <v>2</v>
      </c>
      <c r="I41" s="30">
        <f t="shared" si="22"/>
        <v>35</v>
      </c>
      <c r="J41" s="30">
        <f t="shared" si="23"/>
        <v>5</v>
      </c>
      <c r="K41" s="31">
        <f t="shared" si="24"/>
        <v>70</v>
      </c>
      <c r="L41" s="28">
        <f t="shared" si="25"/>
        <v>7.273098320775917</v>
      </c>
      <c r="M41" s="29">
        <f t="shared" si="26"/>
        <v>9.091372900969896</v>
      </c>
      <c r="N41" s="27">
        <f t="shared" si="27"/>
        <v>0.9998078658337178</v>
      </c>
      <c r="O41" s="28">
        <f t="shared" si="28"/>
        <v>0.999807865833718</v>
      </c>
      <c r="P41" s="27">
        <f t="shared" si="29"/>
        <v>37.056120505769336</v>
      </c>
      <c r="Q41" s="28">
        <f t="shared" si="30"/>
        <v>2.1174926003296766</v>
      </c>
      <c r="R41" s="28">
        <f t="shared" si="31"/>
        <v>14.822448202307735</v>
      </c>
      <c r="S41" s="29">
        <f t="shared" si="32"/>
        <v>1.0587463001648383</v>
      </c>
      <c r="T41" s="64">
        <f t="shared" si="33"/>
        <v>269.512807824981</v>
      </c>
      <c r="U41" s="31">
        <f t="shared" si="34"/>
        <v>134.7564039124905</v>
      </c>
      <c r="V41" s="64">
        <f t="shared" si="35"/>
        <v>55.655982070213355</v>
      </c>
      <c r="W41" s="30">
        <f t="shared" si="36"/>
        <v>111.31196414042671</v>
      </c>
      <c r="X41" s="27">
        <f t="shared" si="37"/>
        <v>1.113119641404267</v>
      </c>
      <c r="Y41" s="29">
        <f t="shared" si="38"/>
        <v>2.226239282808534</v>
      </c>
    </row>
    <row r="42" spans="7:25" ht="12.75">
      <c r="G42" s="35" t="s">
        <v>42</v>
      </c>
      <c r="H42" s="73">
        <f t="shared" si="21"/>
        <v>2</v>
      </c>
      <c r="I42" s="47">
        <f t="shared" si="22"/>
        <v>35</v>
      </c>
      <c r="J42" s="47">
        <f t="shared" si="23"/>
        <v>5</v>
      </c>
      <c r="K42" s="48">
        <f t="shared" si="24"/>
        <v>70</v>
      </c>
      <c r="L42" s="44">
        <f t="shared" si="25"/>
        <v>7.273098320775917</v>
      </c>
      <c r="M42" s="45">
        <f t="shared" si="26"/>
        <v>9.091372900969896</v>
      </c>
      <c r="N42" s="46">
        <f t="shared" si="27"/>
        <v>0.9998078658337178</v>
      </c>
      <c r="O42" s="44">
        <f t="shared" si="28"/>
        <v>0.999807865833718</v>
      </c>
      <c r="P42" s="46">
        <f t="shared" si="29"/>
        <v>268.6568736668277</v>
      </c>
      <c r="Q42" s="44">
        <f t="shared" si="30"/>
        <v>15.351821352390155</v>
      </c>
      <c r="R42" s="44">
        <f t="shared" si="31"/>
        <v>107.46274946673108</v>
      </c>
      <c r="S42" s="45">
        <f t="shared" si="32"/>
        <v>7.675910676195078</v>
      </c>
      <c r="T42" s="73">
        <f t="shared" si="33"/>
        <v>1953.9678567311123</v>
      </c>
      <c r="U42" s="48">
        <f t="shared" si="34"/>
        <v>976.983928365556</v>
      </c>
      <c r="V42" s="73">
        <f t="shared" si="35"/>
        <v>7.6766871820983935</v>
      </c>
      <c r="W42" s="47">
        <f t="shared" si="36"/>
        <v>15.353374364196787</v>
      </c>
      <c r="X42" s="46">
        <f t="shared" si="37"/>
        <v>0.15353374364196787</v>
      </c>
      <c r="Y42" s="45">
        <f t="shared" si="38"/>
        <v>0.30706748728393574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33" sqref="B33"/>
    </sheetView>
  </sheetViews>
  <sheetFormatPr defaultColWidth="9.140625" defaultRowHeight="12.75"/>
  <cols>
    <col min="1" max="1" width="12.7109375" style="0" customWidth="1"/>
    <col min="2" max="2" width="12.421875" style="1" customWidth="1"/>
    <col min="4" max="4" width="8.7109375" style="0" customWidth="1"/>
    <col min="8" max="8" width="9.140625" style="74" customWidth="1"/>
    <col min="9" max="9" width="12.140625" style="0" customWidth="1"/>
    <col min="10" max="10" width="9.140625" style="75" customWidth="1"/>
  </cols>
  <sheetData>
    <row r="1" spans="1:11" ht="12.75">
      <c r="A1" s="76" t="s">
        <v>60</v>
      </c>
      <c r="B1" s="76" t="s">
        <v>61</v>
      </c>
      <c r="C1" s="76" t="s">
        <v>62</v>
      </c>
      <c r="D1" s="76" t="s">
        <v>63</v>
      </c>
      <c r="E1" s="76" t="s">
        <v>64</v>
      </c>
      <c r="F1" s="76" t="s">
        <v>65</v>
      </c>
      <c r="G1" s="76" t="s">
        <v>66</v>
      </c>
      <c r="H1" s="77" t="s">
        <v>67</v>
      </c>
      <c r="I1" s="76" t="s">
        <v>68</v>
      </c>
      <c r="J1" s="78" t="s">
        <v>69</v>
      </c>
      <c r="K1" s="79" t="s">
        <v>70</v>
      </c>
    </row>
    <row r="2" spans="1:11" ht="12.75">
      <c r="A2" s="1"/>
      <c r="C2" s="76" t="s">
        <v>71</v>
      </c>
      <c r="D2" s="76" t="s">
        <v>72</v>
      </c>
      <c r="J2" s="78" t="s">
        <v>73</v>
      </c>
      <c r="K2" s="79" t="s">
        <v>74</v>
      </c>
    </row>
    <row r="3" spans="1:11" ht="12.75">
      <c r="A3" s="80" t="s">
        <v>29</v>
      </c>
      <c r="B3" s="80">
        <v>2000</v>
      </c>
      <c r="C3" s="80">
        <v>3.6750000000000003</v>
      </c>
      <c r="D3" s="80">
        <v>14.37</v>
      </c>
      <c r="E3" s="81">
        <f aca="true" t="shared" si="0" ref="E3:E9">180/SQRT(2)/4.44/$B$15/$B$17</f>
        <v>0.005733298225836871</v>
      </c>
      <c r="F3" s="82">
        <f aca="true" t="shared" si="1" ref="F3:F9">E3/C3*10000</f>
        <v>15.60081149887584</v>
      </c>
      <c r="G3" s="82">
        <f aca="true" t="shared" si="2" ref="G3:G9">$B$11/$B$12*F3</f>
        <v>0.4333558749687733</v>
      </c>
      <c r="H3" s="74">
        <f aca="true" t="shared" si="3" ref="H3:H9">$B$17*D3/100/B3/$B$20/$F$3</f>
        <v>0.916241786601525</v>
      </c>
      <c r="I3" s="75">
        <f aca="true" t="shared" si="4" ref="I3:I9">D3/100/C3*10000/B3/$B$20</f>
        <v>155582.20843715494</v>
      </c>
      <c r="J3" s="75">
        <f aca="true" t="shared" si="5" ref="J3:J9">F3^2/I3*1000000</f>
        <v>1564.351874602477</v>
      </c>
      <c r="K3" s="74">
        <f aca="true" t="shared" si="6" ref="K3:K9">2*PI()*B$15*J3/1000000</f>
        <v>196.5822542752225</v>
      </c>
    </row>
    <row r="4" spans="1:11" ht="12.75">
      <c r="A4" s="80" t="s">
        <v>38</v>
      </c>
      <c r="B4" s="80">
        <v>850</v>
      </c>
      <c r="C4" s="80">
        <v>3.6750000000000003</v>
      </c>
      <c r="D4" s="80">
        <v>14.37</v>
      </c>
      <c r="E4" s="81">
        <f t="shared" si="0"/>
        <v>0.005733298225836871</v>
      </c>
      <c r="F4" s="82">
        <f t="shared" si="1"/>
        <v>15.60081149887584</v>
      </c>
      <c r="G4" s="82">
        <f t="shared" si="2"/>
        <v>0.4333558749687733</v>
      </c>
      <c r="H4" s="74">
        <f t="shared" si="3"/>
        <v>2.155863027297706</v>
      </c>
      <c r="I4" s="75">
        <f t="shared" si="4"/>
        <v>366075.7845580117</v>
      </c>
      <c r="J4" s="75">
        <f t="shared" si="5"/>
        <v>664.8495467060526</v>
      </c>
      <c r="K4" s="74">
        <f t="shared" si="6"/>
        <v>83.54745806696955</v>
      </c>
    </row>
    <row r="5" spans="1:11" ht="12.75">
      <c r="A5" s="80" t="s">
        <v>39</v>
      </c>
      <c r="B5" s="80">
        <v>125</v>
      </c>
      <c r="C5" s="80">
        <v>3.6750000000000003</v>
      </c>
      <c r="D5" s="80">
        <v>14.37</v>
      </c>
      <c r="E5" s="81">
        <f t="shared" si="0"/>
        <v>0.005733298225836871</v>
      </c>
      <c r="F5" s="82">
        <f t="shared" si="1"/>
        <v>15.60081149887584</v>
      </c>
      <c r="G5" s="82">
        <f t="shared" si="2"/>
        <v>0.4333558749687733</v>
      </c>
      <c r="H5" s="74">
        <f t="shared" si="3"/>
        <v>14.6598685856244</v>
      </c>
      <c r="I5" s="75">
        <f t="shared" si="4"/>
        <v>2489315.334994479</v>
      </c>
      <c r="J5" s="75">
        <f t="shared" si="5"/>
        <v>97.77199216265481</v>
      </c>
      <c r="K5" s="74">
        <f t="shared" si="6"/>
        <v>12.286390892201407</v>
      </c>
    </row>
    <row r="6" spans="1:11" ht="12.75">
      <c r="A6" s="80" t="s">
        <v>42</v>
      </c>
      <c r="B6" s="80">
        <v>40</v>
      </c>
      <c r="C6" s="80">
        <v>3.6750000000000003</v>
      </c>
      <c r="D6" s="80">
        <v>14.37</v>
      </c>
      <c r="E6" s="81">
        <f t="shared" si="0"/>
        <v>0.005733298225836871</v>
      </c>
      <c r="F6" s="82">
        <f t="shared" si="1"/>
        <v>15.60081149887584</v>
      </c>
      <c r="G6" s="82">
        <f t="shared" si="2"/>
        <v>0.4333558749687733</v>
      </c>
      <c r="H6" s="74">
        <f t="shared" si="3"/>
        <v>45.81208933007625</v>
      </c>
      <c r="I6" s="75">
        <f t="shared" si="4"/>
        <v>7779110.421857748</v>
      </c>
      <c r="J6" s="75">
        <f t="shared" si="5"/>
        <v>31.28703749204954</v>
      </c>
      <c r="K6" s="74">
        <f t="shared" si="6"/>
        <v>3.9316450855044502</v>
      </c>
    </row>
    <row r="7" spans="1:11" ht="12.75">
      <c r="A7" s="80" t="s">
        <v>28</v>
      </c>
      <c r="B7" s="80">
        <v>2000</v>
      </c>
      <c r="C7" s="80">
        <v>0.678</v>
      </c>
      <c r="D7" s="80">
        <v>8.98</v>
      </c>
      <c r="E7" s="81">
        <f t="shared" si="0"/>
        <v>0.005733298225836871</v>
      </c>
      <c r="F7" s="82">
        <f t="shared" si="1"/>
        <v>84.5619207350571</v>
      </c>
      <c r="G7" s="82">
        <f t="shared" si="2"/>
        <v>2.348942242640475</v>
      </c>
      <c r="H7" s="74">
        <f t="shared" si="3"/>
        <v>0.5725714157050587</v>
      </c>
      <c r="I7" s="75">
        <f t="shared" si="4"/>
        <v>526995.7950477344</v>
      </c>
      <c r="J7" s="75">
        <f t="shared" si="5"/>
        <v>13568.833955789685</v>
      </c>
      <c r="K7" s="74">
        <f t="shared" si="6"/>
        <v>1705.1099629315443</v>
      </c>
    </row>
    <row r="8" spans="1:11" ht="12.75">
      <c r="A8" s="80" t="s">
        <v>75</v>
      </c>
      <c r="B8" s="80">
        <v>40</v>
      </c>
      <c r="C8" s="80">
        <v>0.678</v>
      </c>
      <c r="D8" s="80">
        <v>8.98</v>
      </c>
      <c r="E8" s="81">
        <f t="shared" si="0"/>
        <v>0.005733298225836871</v>
      </c>
      <c r="F8" s="82">
        <f t="shared" si="1"/>
        <v>84.5619207350571</v>
      </c>
      <c r="G8" s="82">
        <f t="shared" si="2"/>
        <v>2.348942242640475</v>
      </c>
      <c r="H8" s="74">
        <f t="shared" si="3"/>
        <v>28.628570785252933</v>
      </c>
      <c r="I8" s="75">
        <f t="shared" si="4"/>
        <v>26349789.752386723</v>
      </c>
      <c r="J8" s="75">
        <f t="shared" si="5"/>
        <v>271.3766791157937</v>
      </c>
      <c r="K8" s="74">
        <f t="shared" si="6"/>
        <v>34.10219925863089</v>
      </c>
    </row>
    <row r="9" spans="1:11" ht="12.75">
      <c r="A9" s="80" t="s">
        <v>76</v>
      </c>
      <c r="B9" s="80">
        <v>125</v>
      </c>
      <c r="C9" s="80">
        <v>0.678</v>
      </c>
      <c r="D9" s="80">
        <v>8.98</v>
      </c>
      <c r="E9" s="81">
        <f t="shared" si="0"/>
        <v>0.005733298225836871</v>
      </c>
      <c r="F9" s="82">
        <f t="shared" si="1"/>
        <v>84.5619207350571</v>
      </c>
      <c r="G9" s="82">
        <f t="shared" si="2"/>
        <v>2.348942242640475</v>
      </c>
      <c r="H9" s="74">
        <f t="shared" si="3"/>
        <v>9.161142651280938</v>
      </c>
      <c r="I9" s="75">
        <f t="shared" si="4"/>
        <v>8431932.72076375</v>
      </c>
      <c r="J9" s="75">
        <f t="shared" si="5"/>
        <v>848.0521222368553</v>
      </c>
      <c r="K9" s="74">
        <f t="shared" si="6"/>
        <v>106.56937268322152</v>
      </c>
    </row>
    <row r="10" ht="12.75">
      <c r="E10" s="81"/>
    </row>
    <row r="11" spans="1:5" ht="12.75">
      <c r="A11" s="1" t="s">
        <v>77</v>
      </c>
      <c r="B11" s="1">
        <v>5</v>
      </c>
      <c r="C11" t="s">
        <v>78</v>
      </c>
      <c r="E11" s="81"/>
    </row>
    <row r="12" spans="1:5" ht="12.75">
      <c r="A12" s="1" t="s">
        <v>79</v>
      </c>
      <c r="B12" s="1">
        <v>180</v>
      </c>
      <c r="C12" t="s">
        <v>78</v>
      </c>
      <c r="E12" s="81"/>
    </row>
    <row r="13" spans="1:5" ht="12.75">
      <c r="A13" s="1"/>
      <c r="E13" s="81"/>
    </row>
    <row r="14" ht="12.75">
      <c r="A14" s="1"/>
    </row>
    <row r="15" spans="1:3" ht="12.75">
      <c r="A15" s="1" t="s">
        <v>80</v>
      </c>
      <c r="B15" s="1">
        <v>20000</v>
      </c>
      <c r="C15" t="s">
        <v>81</v>
      </c>
    </row>
    <row r="16" ht="12.75">
      <c r="A16" s="1"/>
    </row>
    <row r="17" spans="1:3" ht="12.75">
      <c r="A17" s="1" t="s">
        <v>82</v>
      </c>
      <c r="B17" s="1">
        <v>0.25</v>
      </c>
      <c r="C17" t="s">
        <v>83</v>
      </c>
    </row>
    <row r="18" ht="12.75">
      <c r="A18" s="1"/>
    </row>
    <row r="19" ht="12.75">
      <c r="A19" s="1"/>
    </row>
    <row r="20" spans="1:2" ht="12.75">
      <c r="A20" s="1" t="s">
        <v>0</v>
      </c>
      <c r="B20" s="83">
        <f>4*3.14159*0.0000001</f>
        <v>1.256636E-06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5">
      <selection activeCell="A27" sqref="A27"/>
    </sheetView>
  </sheetViews>
  <sheetFormatPr defaultColWidth="9.140625" defaultRowHeight="12.75"/>
  <cols>
    <col min="7" max="7" width="10.28125" style="0" customWidth="1"/>
  </cols>
  <sheetData>
    <row r="1" spans="1:9" ht="12.75">
      <c r="A1" s="84" t="s">
        <v>60</v>
      </c>
      <c r="B1" s="84" t="s">
        <v>61</v>
      </c>
      <c r="C1" s="84" t="s">
        <v>62</v>
      </c>
      <c r="D1" s="84" t="s">
        <v>63</v>
      </c>
      <c r="E1" s="76" t="s">
        <v>84</v>
      </c>
      <c r="F1" s="76" t="s">
        <v>85</v>
      </c>
      <c r="G1" s="76" t="s">
        <v>86</v>
      </c>
      <c r="H1" s="1"/>
      <c r="I1" s="85" t="s">
        <v>87</v>
      </c>
    </row>
    <row r="2" spans="1:11" ht="12.75">
      <c r="A2" s="80"/>
      <c r="B2" s="80"/>
      <c r="C2" s="84" t="s">
        <v>71</v>
      </c>
      <c r="D2" s="84" t="s">
        <v>72</v>
      </c>
      <c r="E2" s="76" t="s">
        <v>88</v>
      </c>
      <c r="F2" s="76" t="s">
        <v>89</v>
      </c>
      <c r="G2" s="76" t="s">
        <v>89</v>
      </c>
      <c r="H2" s="1"/>
      <c r="I2" t="s">
        <v>90</v>
      </c>
      <c r="K2" t="s">
        <v>91</v>
      </c>
    </row>
    <row r="3" spans="1:11" ht="12.75">
      <c r="A3" s="80" t="s">
        <v>29</v>
      </c>
      <c r="B3" s="80">
        <v>2000</v>
      </c>
      <c r="C3" s="80">
        <v>3.6750000000000003</v>
      </c>
      <c r="D3" s="80">
        <v>14.37</v>
      </c>
      <c r="E3" s="5">
        <f aca="true" t="shared" si="0" ref="E3:E10">0.4*PI()*I$20*I$26/D3</f>
        <v>4.997065558945888</v>
      </c>
      <c r="F3" s="6">
        <f aca="true" t="shared" si="1" ref="F3:F10">I$21*10^8/(4*C3*I$20*I$22)</f>
        <v>595.2380952380952</v>
      </c>
      <c r="G3" s="6">
        <f aca="true" t="shared" si="2" ref="G3:G10">B3*E3</f>
        <v>9994.131117891775</v>
      </c>
      <c r="H3" s="1"/>
      <c r="I3" t="s">
        <v>92</v>
      </c>
      <c r="K3" t="s">
        <v>93</v>
      </c>
    </row>
    <row r="4" spans="1:8" ht="12.75">
      <c r="A4" s="80" t="s">
        <v>38</v>
      </c>
      <c r="B4" s="80">
        <v>850</v>
      </c>
      <c r="C4" s="80">
        <v>3.6750000000000003</v>
      </c>
      <c r="D4" s="80">
        <v>14.37</v>
      </c>
      <c r="E4" s="5">
        <f t="shared" si="0"/>
        <v>4.997065558945888</v>
      </c>
      <c r="F4" s="6">
        <f t="shared" si="1"/>
        <v>595.2380952380952</v>
      </c>
      <c r="G4" s="6">
        <f t="shared" si="2"/>
        <v>4247.505725104004</v>
      </c>
      <c r="H4" s="1"/>
    </row>
    <row r="5" spans="1:9" ht="12.75">
      <c r="A5" s="80" t="s">
        <v>39</v>
      </c>
      <c r="B5" s="80">
        <v>125</v>
      </c>
      <c r="C5" s="80">
        <v>3.6750000000000003</v>
      </c>
      <c r="D5" s="80">
        <v>14.37</v>
      </c>
      <c r="E5" s="5">
        <f t="shared" si="0"/>
        <v>4.997065558945888</v>
      </c>
      <c r="F5" s="6">
        <f t="shared" si="1"/>
        <v>595.2380952380952</v>
      </c>
      <c r="G5" s="6">
        <f t="shared" si="2"/>
        <v>624.6331948682359</v>
      </c>
      <c r="H5" s="1"/>
      <c r="I5" s="85" t="s">
        <v>94</v>
      </c>
    </row>
    <row r="6" spans="1:10" ht="12.75">
      <c r="A6" s="80" t="s">
        <v>42</v>
      </c>
      <c r="B6" s="80">
        <v>40</v>
      </c>
      <c r="C6" s="80">
        <v>3.6750000000000003</v>
      </c>
      <c r="D6" s="80">
        <v>14.37</v>
      </c>
      <c r="E6" s="5">
        <f t="shared" si="0"/>
        <v>4.997065558945888</v>
      </c>
      <c r="F6" s="6">
        <f t="shared" si="1"/>
        <v>595.2380952380952</v>
      </c>
      <c r="G6" s="6">
        <f t="shared" si="2"/>
        <v>199.88262235783552</v>
      </c>
      <c r="H6" s="1"/>
      <c r="I6" t="s">
        <v>95</v>
      </c>
      <c r="J6" t="s">
        <v>96</v>
      </c>
    </row>
    <row r="7" spans="1:8" ht="12.75">
      <c r="A7" s="80" t="s">
        <v>28</v>
      </c>
      <c r="B7" s="80">
        <v>2000</v>
      </c>
      <c r="C7" s="80">
        <v>0.678</v>
      </c>
      <c r="D7" s="80">
        <v>8.98</v>
      </c>
      <c r="E7" s="5">
        <f t="shared" si="0"/>
        <v>7.996417826509177</v>
      </c>
      <c r="F7" s="6">
        <f t="shared" si="1"/>
        <v>3226.4011799410027</v>
      </c>
      <c r="G7" s="6">
        <f t="shared" si="2"/>
        <v>15992.835653018354</v>
      </c>
      <c r="H7" s="1"/>
    </row>
    <row r="8" spans="1:9" ht="12.75">
      <c r="A8" s="80" t="s">
        <v>75</v>
      </c>
      <c r="B8" s="80">
        <v>40</v>
      </c>
      <c r="C8" s="80">
        <v>0.678</v>
      </c>
      <c r="D8" s="80">
        <v>8.98</v>
      </c>
      <c r="E8" s="5">
        <f t="shared" si="0"/>
        <v>7.996417826509177</v>
      </c>
      <c r="F8" s="6">
        <f t="shared" si="1"/>
        <v>3226.4011799410027</v>
      </c>
      <c r="G8" s="6">
        <f t="shared" si="2"/>
        <v>319.85671306036704</v>
      </c>
      <c r="H8" s="1"/>
      <c r="I8" s="85" t="s">
        <v>97</v>
      </c>
    </row>
    <row r="9" spans="1:9" ht="12.75">
      <c r="A9" s="80" t="s">
        <v>76</v>
      </c>
      <c r="B9" s="80">
        <v>125</v>
      </c>
      <c r="C9" s="80">
        <v>0.678</v>
      </c>
      <c r="D9" s="80">
        <v>8.98</v>
      </c>
      <c r="E9" s="5">
        <f t="shared" si="0"/>
        <v>7.996417826509177</v>
      </c>
      <c r="F9" s="6">
        <f t="shared" si="1"/>
        <v>3226.4011799410027</v>
      </c>
      <c r="G9" s="6">
        <f t="shared" si="2"/>
        <v>999.5522283136471</v>
      </c>
      <c r="H9" s="1"/>
      <c r="I9" t="s">
        <v>98</v>
      </c>
    </row>
    <row r="10" spans="1:8" ht="12.75">
      <c r="A10" s="80" t="s">
        <v>30</v>
      </c>
      <c r="B10" s="80">
        <v>2000</v>
      </c>
      <c r="C10" s="80">
        <v>5.04</v>
      </c>
      <c r="D10" s="80">
        <v>18.38</v>
      </c>
      <c r="E10" s="5">
        <f t="shared" si="0"/>
        <v>3.9068461415697726</v>
      </c>
      <c r="F10" s="6">
        <f t="shared" si="1"/>
        <v>434.02777777777777</v>
      </c>
      <c r="G10" s="6">
        <f t="shared" si="2"/>
        <v>7813.692283139545</v>
      </c>
      <c r="H10" s="1"/>
    </row>
    <row r="11" spans="1:9" ht="12.75">
      <c r="A11" s="80"/>
      <c r="B11" s="80"/>
      <c r="C11" s="80"/>
      <c r="D11" s="80"/>
      <c r="E11" s="1"/>
      <c r="F11" s="1"/>
      <c r="G11" s="1"/>
      <c r="H11" s="1"/>
      <c r="I11" s="85" t="s">
        <v>99</v>
      </c>
    </row>
    <row r="12" spans="1:9" ht="12.75">
      <c r="A12" s="80"/>
      <c r="B12" s="80"/>
      <c r="C12" s="80"/>
      <c r="D12" s="80"/>
      <c r="E12" s="1"/>
      <c r="F12" s="1"/>
      <c r="G12" s="1"/>
      <c r="H12" s="1"/>
      <c r="I12" t="s">
        <v>100</v>
      </c>
    </row>
    <row r="13" spans="1:9" ht="12.75">
      <c r="A13" s="80"/>
      <c r="B13" s="80"/>
      <c r="C13" s="80"/>
      <c r="D13" s="80"/>
      <c r="E13" s="1"/>
      <c r="F13" s="1"/>
      <c r="G13" s="1"/>
      <c r="H13" s="1"/>
      <c r="I13" t="s">
        <v>101</v>
      </c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85" t="s">
        <v>102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t="s">
        <v>103</v>
      </c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85" t="s">
        <v>104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86">
        <v>4</v>
      </c>
      <c r="J20" t="s">
        <v>105</v>
      </c>
      <c r="L20" s="82">
        <f>I20*I24</f>
        <v>108</v>
      </c>
      <c r="M20" t="s">
        <v>106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86">
        <v>7</v>
      </c>
      <c r="J21" t="s">
        <v>107</v>
      </c>
      <c r="L21" s="82">
        <f>I21*I24</f>
        <v>189</v>
      </c>
      <c r="M21" t="s">
        <v>108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86">
        <v>20000</v>
      </c>
      <c r="J22" t="s">
        <v>109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86">
        <v>100</v>
      </c>
      <c r="J23" t="s">
        <v>110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86">
        <v>27</v>
      </c>
      <c r="J24" t="s">
        <v>111</v>
      </c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10" ht="12.75">
      <c r="A26" s="87" t="s">
        <v>112</v>
      </c>
      <c r="B26" s="1"/>
      <c r="C26" s="1"/>
      <c r="D26" s="1"/>
      <c r="E26" s="1"/>
      <c r="F26" s="1"/>
      <c r="G26" s="1"/>
      <c r="H26" s="1"/>
      <c r="I26" s="20">
        <f>I23/I21</f>
        <v>14.285714285714286</v>
      </c>
      <c r="J26" t="s">
        <v>113</v>
      </c>
    </row>
    <row r="27" spans="1:9" ht="12.75">
      <c r="A27" s="88" t="s">
        <v>114</v>
      </c>
      <c r="B27" s="1"/>
      <c r="C27" s="1"/>
      <c r="D27" s="1"/>
      <c r="E27" s="1"/>
      <c r="F27" s="1"/>
      <c r="G27" s="1"/>
      <c r="H27" s="1"/>
      <c r="I27" s="20"/>
    </row>
    <row r="28" spans="1:9" ht="12.75">
      <c r="A28" s="88" t="s">
        <v>115</v>
      </c>
      <c r="B28" s="1"/>
      <c r="C28" s="1"/>
      <c r="D28" s="1"/>
      <c r="E28" s="1"/>
      <c r="F28" s="1"/>
      <c r="G28" s="1"/>
      <c r="H28" s="1"/>
      <c r="I28" s="20"/>
    </row>
    <row r="29" spans="1:9" ht="12.75">
      <c r="A29" s="88" t="s">
        <v>116</v>
      </c>
      <c r="B29" s="1"/>
      <c r="C29" s="1"/>
      <c r="D29" s="1"/>
      <c r="E29" s="1"/>
      <c r="F29" s="1"/>
      <c r="G29" s="1"/>
      <c r="H29" s="1"/>
      <c r="I29" s="20"/>
    </row>
    <row r="30" spans="1:9" ht="12.75">
      <c r="A30" s="20" t="s">
        <v>117</v>
      </c>
      <c r="B30" s="1"/>
      <c r="C30" s="1"/>
      <c r="D30" s="1"/>
      <c r="E30" s="1"/>
      <c r="F30" s="1"/>
      <c r="G30" s="1"/>
      <c r="H30" s="1"/>
      <c r="I30" s="20"/>
    </row>
  </sheetData>
  <hyperlinks>
    <hyperlink ref="A27" r:id="rId1" display="Coil # from http://www.cwsbytemark.com/prices/toroidal.php"/>
    <hyperlink ref="A28" r:id="rId2" display="Material specs from http://www.cwsbytemark.com/CatalogSheets/Ferrite_datasheet_oct06/FR_MATL.pdf"/>
    <hyperlink ref="A29" r:id="rId3" display="Core dimensions from http://www.cwsbytemark.com/CatalogSheets/datasheets_mpp.php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BEC</cp:lastModifiedBy>
  <cp:lastPrinted>2007-05-18T11:56:18Z</cp:lastPrinted>
  <dcterms:created xsi:type="dcterms:W3CDTF">2007-05-02T21:04:33Z</dcterms:created>
  <dcterms:modified xsi:type="dcterms:W3CDTF">2007-06-06T18:54:29Z</dcterms:modified>
  <cp:category/>
  <cp:version/>
  <cp:contentType/>
  <cp:contentStatus/>
  <cp:revision>1</cp:revision>
</cp:coreProperties>
</file>